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900" tabRatio="870" firstSheet="19" activeTab="21"/>
  </bookViews>
  <sheets>
    <sheet name="Period Admin" sheetId="1" state="hidden" r:id="rId1"/>
    <sheet name="Content" sheetId="2" r:id="rId2"/>
    <sheet name="Net_sales_and_income-Q" sheetId="3" r:id="rId3"/>
    <sheet name="Change_in_net_sales-Q" sheetId="4" r:id="rId4"/>
    <sheet name="Financial_Position-Q" sheetId="5" r:id="rId5"/>
    <sheet name="Cash_flow-Q" sheetId="6" r:id="rId6"/>
    <sheet name="Business_Area_Europe-Q" sheetId="7" r:id="rId7"/>
    <sheet name="Business_Area_NA-Q" sheetId="8" r:id="rId8"/>
    <sheet name="Business_Area_LA-Q" sheetId="9" r:id="rId9"/>
    <sheet name="Business_Area_APMEA-Q" sheetId="10" r:id="rId10"/>
    <sheet name="Professional_Products-Q" sheetId="11" r:id="rId11"/>
    <sheet name="Key_ratios-Q" sheetId="12" r:id="rId12"/>
    <sheet name="Net_sales_and_income-Y" sheetId="13" r:id="rId13"/>
    <sheet name="Change_in_net_sales-Y" sheetId="14" r:id="rId14"/>
    <sheet name="Financial_Position-Y" sheetId="15" r:id="rId15"/>
    <sheet name="Cash_flow-Y" sheetId="16" r:id="rId16"/>
    <sheet name="Business_Area_Europe-Y" sheetId="17" r:id="rId17"/>
    <sheet name="Business_Area_NA-Y" sheetId="18" r:id="rId18"/>
    <sheet name="Business_Area_LA-Y" sheetId="19" r:id="rId19"/>
    <sheet name="Business_Area_APMEA-Y" sheetId="20" r:id="rId20"/>
    <sheet name="Professional_Products-Y" sheetId="21" r:id="rId21"/>
    <sheet name="Net_sales_by_country-Y" sheetId="22" r:id="rId22"/>
    <sheet name="Employees_by_country-Y" sheetId="23" r:id="rId23"/>
    <sheet name="Key_ratios-Y" sheetId="24" r:id="rId24"/>
    <sheet name="Data_per_share-Y" sheetId="25" r:id="rId25"/>
    <sheet name="Net_debt-Y" sheetId="26" r:id="rId26"/>
    <sheet name="Rating-Y" sheetId="27" r:id="rId27"/>
    <sheet name="Repayment_schedule-Y" sheetId="28" r:id="rId28"/>
  </sheets>
  <externalReferences>
    <externalReference r:id="rId31"/>
    <externalReference r:id="rId32"/>
  </externalReferences>
  <definedNames>
    <definedName name="_xlfn._FV" hidden="1">#NAME?</definedName>
    <definedName name="_xlfn.IFERROR" hidden="1">#NAME?</definedName>
    <definedName name="AARO_Ack">'Period Admin'!$D$48</definedName>
    <definedName name="AARO_Ack_m1Q">'Period Admin'!$D$49</definedName>
    <definedName name="AARO_Ack_m2Q">'Period Admin'!$D$50</definedName>
    <definedName name="AARO_Ack_m3Q">'Period Admin'!$D$51</definedName>
    <definedName name="AARO_Ack_m4Q">'Period Admin'!$D$52</definedName>
    <definedName name="AARO_Ack_m5Q">'Period Admin'!$D$54</definedName>
    <definedName name="AARO_Ack_m6Q">'Period Admin'!$D$55</definedName>
    <definedName name="AARO_Ack_m7Q">'Period Admin'!$D$56</definedName>
    <definedName name="AARO_Ack_m8Q">'Period Admin'!$D$57</definedName>
    <definedName name="AARO_LastYear">'Period Admin'!$D$53</definedName>
    <definedName name="AARO_LastYear_2">'Period Admin'!$D$58</definedName>
    <definedName name="AARO_Q">'Period Admin'!$D$37</definedName>
    <definedName name="AARO_Q_m1Q">'Period Admin'!$D$38</definedName>
    <definedName name="AARO_Q_m2Q">'Period Admin'!$D$39</definedName>
    <definedName name="AARO_Q_m3Q">'Period Admin'!$D$40</definedName>
    <definedName name="AARO_Q_m4Q">'Period Admin'!$D$41</definedName>
    <definedName name="AARO_Q_m5Q">'Period Admin'!$D$42</definedName>
    <definedName name="AARO_Q_m6Q">'Period Admin'!$D$43</definedName>
    <definedName name="AARO_Q_m7Q">'Period Admin'!$D$44</definedName>
    <definedName name="AARO_Q_m8Q">'Period Admin'!$D$45</definedName>
    <definedName name="ab">'Content'!$C$1</definedName>
    <definedName name="abc">'Content'!$C$1</definedName>
    <definedName name="abcd">'Content'!$C$1</definedName>
    <definedName name="ActAckPer">'Period Admin'!$J$24</definedName>
    <definedName name="ActAckPerR12">'Period Admin'!$J$191</definedName>
    <definedName name="ActFullYear">'Period Admin'!$F$23</definedName>
    <definedName name="ActFullYear_m1Y">'Period Admin'!$F$24</definedName>
    <definedName name="ActFullYearM">'Period Admin'!$F$28</definedName>
    <definedName name="ActFullYearM_1Y">'Period Admin'!$F$29</definedName>
    <definedName name="ActHYear">'Period Admin'!$D$20</definedName>
    <definedName name="ActHYear_m1Y">'Period Admin'!$D$21</definedName>
    <definedName name="ActMon">'Period Admin'!$J$15</definedName>
    <definedName name="ActPer">'Period Admin'!$J$23</definedName>
    <definedName name="ActPer_nMonth">'Period Admin'!$J$7</definedName>
    <definedName name="ActPer_noMonth">'Period Admin'!$J$8</definedName>
    <definedName name="ActPerY">'Period Admin'!$J$22</definedName>
    <definedName name="ActPerYear">'Period Admin'!$J$21</definedName>
    <definedName name="ActQ">'Period Admin'!$J$10</definedName>
    <definedName name="ActQ_Y">'Period Admin'!$J$12</definedName>
    <definedName name="ActQ_Year">'Period Admin'!$J$11</definedName>
    <definedName name="ActQBrDate">'Period Admin'!$J$18</definedName>
    <definedName name="ActQBrDateR12">'Period Admin'!$J$190</definedName>
    <definedName name="ActQBrDateR12Slut">'Period Admin'!$J$189</definedName>
    <definedName name="ActQBrDateR12Start">'Period Admin'!$J$188</definedName>
    <definedName name="ActQBrDateY">'Period Admin'!$J$20</definedName>
    <definedName name="ActQBrDateYear">'Period Admin'!$J$19</definedName>
    <definedName name="ActQBrMDay">'Period Admin'!$J$17</definedName>
    <definedName name="ActQn">'Period Admin'!$J$9</definedName>
    <definedName name="ActQn_Y">'Period Admin'!$J$14</definedName>
    <definedName name="ActQn_Year">'Period Admin'!$J$13</definedName>
    <definedName name="ActY">'Period Admin'!$F$8</definedName>
    <definedName name="ActY_m10Y">'Period Admin'!$F$18</definedName>
    <definedName name="ActY_m1Y">'Period Admin'!$F$9</definedName>
    <definedName name="ActY_m2Y">'Period Admin'!$F$10</definedName>
    <definedName name="ActY_m3Y">'Period Admin'!$F$11</definedName>
    <definedName name="ActY_m4Y">'Period Admin'!$F$12</definedName>
    <definedName name="ActY_m5Y">'Period Admin'!$F$13</definedName>
    <definedName name="ActY_m6Y">'Period Admin'!$F$14</definedName>
    <definedName name="ActY_m7Y">'Period Admin'!$F$15</definedName>
    <definedName name="ActY_m8Y">'Period Admin'!$F$16</definedName>
    <definedName name="ActY_m9Y">'Period Admin'!$F$17</definedName>
    <definedName name="ActYear">'Period Admin'!$D$8</definedName>
    <definedName name="ActYear_m10Y">'Period Admin'!$D$18</definedName>
    <definedName name="ActYear_m1Y">'Period Admin'!$D$9</definedName>
    <definedName name="ActYear_m2Y">'Period Admin'!$D$10</definedName>
    <definedName name="ActYear_m3Y">'Period Admin'!$D$11</definedName>
    <definedName name="ActYear_m4Y">'Period Admin'!$D$12</definedName>
    <definedName name="ActYear_m5Y">'Period Admin'!$D$13</definedName>
    <definedName name="ActYear_m6Y">'Period Admin'!$D$14</definedName>
    <definedName name="ActYear_m7Y">'Period Admin'!$D$15</definedName>
    <definedName name="ActYear_m8Y">'Period Admin'!$D$16</definedName>
    <definedName name="ActYear_m9Y">'Period Admin'!$D$17</definedName>
    <definedName name="ActYearMonth">'Period Admin'!$J$16</definedName>
    <definedName name="AdmPeriod">'Period Admin'!$K$10:$N$10</definedName>
    <definedName name="AR_ActQ_Year">'Period Admin'!$U$11</definedName>
    <definedName name="asas">'Content'!$C$1</definedName>
    <definedName name="company" localSheetId="25">#REF!</definedName>
    <definedName name="Company">'Content'!$C$1</definedName>
    <definedName name="EV__LASTREFTIME__" hidden="1">41869.341099537</definedName>
    <definedName name="FTE_2015">'[1]FTE 2015'!$A$6:$B$62</definedName>
    <definedName name="FTE_2016">'[2]FTE 2016 (&amp;2015)'!$A$76:$B$135</definedName>
    <definedName name="FullYear">'Period Admin'!$F$25</definedName>
    <definedName name="FullYearBrDate">'Period Admin'!$F$27</definedName>
    <definedName name="FullYearBrDate_1Y">'Period Admin'!$F$30</definedName>
    <definedName name="FullYearBrDate_2Y">'Period Admin'!$F$31</definedName>
    <definedName name="FullYearBrDate_3Y">'Period Admin'!$F$32</definedName>
    <definedName name="FullYearBrDay">'Period Admin'!$F$26</definedName>
    <definedName name="FullYearT">'Period Admin'!$F$34</definedName>
    <definedName name="LinkValues1">#REF!</definedName>
    <definedName name="LinkValues10">#REF!</definedName>
    <definedName name="LinkValues11">#REF!</definedName>
    <definedName name="LinkValues12">#REF!</definedName>
    <definedName name="LinkValues13">#REF!</definedName>
    <definedName name="LinkValues14">#REF!</definedName>
    <definedName name="LinkValues2">#REF!</definedName>
    <definedName name="LinkValues3">#REF!</definedName>
    <definedName name="LinkValues4">#REF!</definedName>
    <definedName name="LinkValues5">#REF!</definedName>
    <definedName name="LinkValues6">#REF!</definedName>
    <definedName name="LinkValues7">#REF!</definedName>
    <definedName name="LinkValues8">#REF!</definedName>
    <definedName name="LinkValues9">#REF!</definedName>
    <definedName name="m1Q_AckPer">'Period Admin'!$J$40</definedName>
    <definedName name="m1Q_Mon">'Period Admin'!$J$31</definedName>
    <definedName name="m1Q_Per">'Period Admin'!$J$39</definedName>
    <definedName name="m1Q_PerY">'Period Admin'!$J$38</definedName>
    <definedName name="m1Q_PerYear">'Period Admin'!$J$37</definedName>
    <definedName name="m1Q_Q">'Period Admin'!$J$26</definedName>
    <definedName name="m1Q_Q_Y">'Period Admin'!$J$28</definedName>
    <definedName name="m1Q_Q_Year">'Period Admin'!$J$27</definedName>
    <definedName name="m1Q_QBrDate">'Period Admin'!$J$34</definedName>
    <definedName name="m1Q_QBrDateY">'Period Admin'!$J$36</definedName>
    <definedName name="m1Q_QBrDateYear">'Period Admin'!$J$35</definedName>
    <definedName name="m1Q_QBrMDay">'Period Admin'!$J$33</definedName>
    <definedName name="m1Q_Qn">'Period Admin'!$J$25</definedName>
    <definedName name="m1Q_Qn_Y">'Period Admin'!$J$30</definedName>
    <definedName name="m1Q_Qn_Year">'Period Admin'!$J$29</definedName>
    <definedName name="m1Q_YearMonth">'Period Admin'!$J$32</definedName>
    <definedName name="m1Y_ActAckPer">'Period Admin'!$J$185</definedName>
    <definedName name="m1Y_ActMon">'Period Admin'!$J$176</definedName>
    <definedName name="m1Y_ActPer">'Period Admin'!$J$184</definedName>
    <definedName name="m1Y_ActPerY">'Period Admin'!$J$183</definedName>
    <definedName name="m1Y_ActPerYear">'Period Admin'!$J$182</definedName>
    <definedName name="m1Y_ActQ">'Period Admin'!$J$171</definedName>
    <definedName name="m1Y_ActQ_Y">'Period Admin'!$J$173</definedName>
    <definedName name="m1Y_ActQ_Year">'Period Admin'!$J$172</definedName>
    <definedName name="m1Y_ActQBrDate">'Period Admin'!$J$179</definedName>
    <definedName name="m1Y_ActQBrDateY">'Period Admin'!$J$181</definedName>
    <definedName name="m1Y_ActQBrDateYear">'Period Admin'!$J$180</definedName>
    <definedName name="m1Y_ActQBrMDay">'Period Admin'!$J$178</definedName>
    <definedName name="m1Y_ActQn">'Period Admin'!$J$170</definedName>
    <definedName name="m1Y_ActQn_Y">'Period Admin'!$J$175</definedName>
    <definedName name="m1Y_ActQn_Year">'Period Admin'!$J$174</definedName>
    <definedName name="m1Y_ActYearMonth">'Period Admin'!$J$177</definedName>
    <definedName name="m2Q_AckPer">'Period Admin'!$J$56</definedName>
    <definedName name="m2Q_Mon">'Period Admin'!$J$47</definedName>
    <definedName name="m2Q_Per">'Period Admin'!$J$55</definedName>
    <definedName name="m2Q_PerY">'Period Admin'!$J$54</definedName>
    <definedName name="m2Q_PerYear">'Period Admin'!$J$53</definedName>
    <definedName name="m2Q_Q">'Period Admin'!$J$42</definedName>
    <definedName name="m2Q_Q_Y">'Period Admin'!$J$44</definedName>
    <definedName name="m2Q_Q_Year">'Period Admin'!$J$43</definedName>
    <definedName name="m2Q_QBrDate">'Period Admin'!$J$50</definedName>
    <definedName name="m2Q_QBrDateY">'Period Admin'!$J$52</definedName>
    <definedName name="m2Q_QBrDateYear">'Period Admin'!$J$51</definedName>
    <definedName name="m2Q_QBrMDay">'Period Admin'!$J$49</definedName>
    <definedName name="m2Q_Qn">'Period Admin'!$J$41</definedName>
    <definedName name="m2Q_Qn_Y">'Period Admin'!$J$46</definedName>
    <definedName name="m2Q_Qn_Year">'Period Admin'!$J$45</definedName>
    <definedName name="m2Q_YearMonth">'Period Admin'!$J$48</definedName>
    <definedName name="m3Q_AckPer">'Period Admin'!$J$72</definedName>
    <definedName name="m3Q_Mon">'Period Admin'!$J$63</definedName>
    <definedName name="m3Q_Per">'Period Admin'!$J$71</definedName>
    <definedName name="m3Q_PerY">'Period Admin'!$J$70</definedName>
    <definedName name="m3Q_PerYear">'Period Admin'!$J$69</definedName>
    <definedName name="m3Q_Q">'Period Admin'!$J$58</definedName>
    <definedName name="m3Q_Q_Y">'Period Admin'!$J$60</definedName>
    <definedName name="m3Q_Q_Year">'Period Admin'!$J$59</definedName>
    <definedName name="m3Q_QBrDate">'Period Admin'!$J$66</definedName>
    <definedName name="m3Q_QBrDateY">'Period Admin'!$J$68</definedName>
    <definedName name="m3Q_QBrDateYear">'Period Admin'!$J$67</definedName>
    <definedName name="m3Q_QBrMDay">'Period Admin'!$J$65</definedName>
    <definedName name="m3Q_Qn">'Period Admin'!$J$57</definedName>
    <definedName name="m3Q_Qn_Y">'Period Admin'!$J$62</definedName>
    <definedName name="m3Q_Qn_Year">'Period Admin'!$J$61</definedName>
    <definedName name="m3Q_YearMonth">'Period Admin'!$J$64</definedName>
    <definedName name="m4Q_AckPer">'Period Admin'!$J$88</definedName>
    <definedName name="m4Q_Mon">'Period Admin'!$J$79</definedName>
    <definedName name="m4Q_Per">'Period Admin'!$J$87</definedName>
    <definedName name="m4Q_PerY">'Period Admin'!$J$86</definedName>
    <definedName name="m4Q_PerYear">'Period Admin'!$J$85</definedName>
    <definedName name="m4Q_Q">'Period Admin'!$J$74</definedName>
    <definedName name="m4Q_Q_Y">'Period Admin'!$J$76</definedName>
    <definedName name="m4Q_Q_Year">'Period Admin'!$J$75</definedName>
    <definedName name="m4Q_QBrDate">'Period Admin'!$J$82</definedName>
    <definedName name="m4Q_QBrDateY">'Period Admin'!$J$84</definedName>
    <definedName name="m4Q_QBrDateYear">'Period Admin'!$J$83</definedName>
    <definedName name="m4Q_QBrMDay">'Period Admin'!$J$81</definedName>
    <definedName name="m4Q_Qn">'Period Admin'!$J$73</definedName>
    <definedName name="m4Q_Qn_Y">'Period Admin'!$J$78</definedName>
    <definedName name="m4Q_Qn_Year">'Period Admin'!$J$77</definedName>
    <definedName name="m4Q_YearMonth">'Period Admin'!$J$80</definedName>
    <definedName name="m5Q_AckPer">'Period Admin'!$J$104</definedName>
    <definedName name="m5Q_Mon">'Period Admin'!$J$95</definedName>
    <definedName name="m5Q_Per">'Period Admin'!$J$103</definedName>
    <definedName name="m5Q_PerY">'Period Admin'!$J$102</definedName>
    <definedName name="m5Q_PerYear">'Period Admin'!$J$101</definedName>
    <definedName name="m5Q_Q">'Period Admin'!$J$90</definedName>
    <definedName name="m5Q_Q_Y">'Period Admin'!$J$92</definedName>
    <definedName name="m5Q_Q_Year">'Period Admin'!$J$91</definedName>
    <definedName name="m5Q_QBrDate">'Period Admin'!$J$98</definedName>
    <definedName name="m5Q_QBrDateY">'Period Admin'!$J$100</definedName>
    <definedName name="m5Q_QBrDateYear">'Period Admin'!$J$99</definedName>
    <definedName name="m5Q_QBrMDay">'Period Admin'!$J$97</definedName>
    <definedName name="m5Q_Qn">'Period Admin'!$J$89</definedName>
    <definedName name="m5Q_Qn_Y">'Period Admin'!$J$94</definedName>
    <definedName name="m5Q_Qn_Year">'Period Admin'!$J$93</definedName>
    <definedName name="m5Q_YearMonth">'Period Admin'!$J$96</definedName>
    <definedName name="m6Q_AckPer">'Period Admin'!$J$120</definedName>
    <definedName name="m6Q_Mon">'Period Admin'!$J$111</definedName>
    <definedName name="m6Q_Per">'Period Admin'!$J$119</definedName>
    <definedName name="m6Q_PerY">'Period Admin'!$J$118</definedName>
    <definedName name="m6Q_PerYear">'Period Admin'!$J$117</definedName>
    <definedName name="m6Q_Q">'Period Admin'!$J$106</definedName>
    <definedName name="m6Q_Q_Y">'Period Admin'!$J$108</definedName>
    <definedName name="m6Q_Q_Year">'Period Admin'!$J$107</definedName>
    <definedName name="m6Q_QBrDate">'Period Admin'!$J$114</definedName>
    <definedName name="m6Q_QBrDateY">'Period Admin'!$J$116</definedName>
    <definedName name="m6Q_QBrDateYear">'Period Admin'!$J$115</definedName>
    <definedName name="m6Q_QBrMDay">'Period Admin'!$J$113</definedName>
    <definedName name="m6Q_Qn">'Period Admin'!$J$105</definedName>
    <definedName name="m6Q_Qn_Y">'Period Admin'!$J$110</definedName>
    <definedName name="m6Q_Qn_Year">'Period Admin'!$J$109</definedName>
    <definedName name="m6Q_YearMonth">'Period Admin'!$J$112</definedName>
    <definedName name="m7Q_AckPer">'Period Admin'!$J$136</definedName>
    <definedName name="m7Q_Mon">'Period Admin'!$J$127</definedName>
    <definedName name="m7Q_Per">'Period Admin'!$J$135</definedName>
    <definedName name="m7Q_PerY">'Period Admin'!$J$134</definedName>
    <definedName name="m7Q_PerYear">'Period Admin'!$J$133</definedName>
    <definedName name="m7Q_Q">'Period Admin'!$J$122</definedName>
    <definedName name="m7Q_Q_Y">'Period Admin'!$J$124</definedName>
    <definedName name="m7Q_Q_Year">'Period Admin'!$J$123</definedName>
    <definedName name="m7Q_QBrDate">'Period Admin'!$J$130</definedName>
    <definedName name="m7Q_QBrDateY">'Period Admin'!$J$132</definedName>
    <definedName name="m7Q_QBrDateYear">'Period Admin'!$J$131</definedName>
    <definedName name="m7Q_QBrMDay">'Period Admin'!$J$129</definedName>
    <definedName name="m7Q_Qn">'Period Admin'!$J$121</definedName>
    <definedName name="m7Q_Qn_Y">'Period Admin'!$J$126</definedName>
    <definedName name="m7Q_Qn_Year">'Period Admin'!$J$125</definedName>
    <definedName name="m7Q_YearMonth">'Period Admin'!$J$128</definedName>
    <definedName name="m8Q_AckPer">'Period Admin'!$J$152</definedName>
    <definedName name="m8Q_Mon">'Period Admin'!$J$143</definedName>
    <definedName name="m8Q_Per">'Period Admin'!$J$151</definedName>
    <definedName name="m8Q_PerY">'Period Admin'!$J$150</definedName>
    <definedName name="m8Q_PerYear">'Period Admin'!$J$149</definedName>
    <definedName name="m8Q_Q">'Period Admin'!$J$138</definedName>
    <definedName name="m8Q_Q_Y">'Period Admin'!$J$140</definedName>
    <definedName name="m8Q_Q_Year">'Period Admin'!$J$139</definedName>
    <definedName name="m8Q_QBrDate">'Period Admin'!$J$146</definedName>
    <definedName name="m8Q_QBrDateY">'Period Admin'!$J$148</definedName>
    <definedName name="m8Q_QBrDateYear">'Period Admin'!$J$147</definedName>
    <definedName name="m8Q_QBrMDay">'Period Admin'!$J$145</definedName>
    <definedName name="m8Q_Qn">'Period Admin'!$J$137</definedName>
    <definedName name="m8Q_Qn_Y">'Period Admin'!$J$142</definedName>
    <definedName name="m8Q_Qn_Year">'Period Admin'!$J$141</definedName>
    <definedName name="m8Q_YearMonth">'Period Admin'!$J$144</definedName>
    <definedName name="m9Q_AckPer">'Period Admin'!$J$168</definedName>
    <definedName name="m9Q_Mon">'Period Admin'!$J$159</definedName>
    <definedName name="m9Q_Per">'Period Admin'!$J$167</definedName>
    <definedName name="m9Q_PerY">'Period Admin'!$J$166</definedName>
    <definedName name="m9Q_PerYear">'Period Admin'!$J$165</definedName>
    <definedName name="m9Q_Q">'Period Admin'!$J$154</definedName>
    <definedName name="m9Q_Q_Y">'Period Admin'!$J$156</definedName>
    <definedName name="m9Q_Q_Year">'Period Admin'!$J$155</definedName>
    <definedName name="m9Q_QBrDate">'Period Admin'!$J$162</definedName>
    <definedName name="m9Q_QBrDateY">'Period Admin'!$J$164</definedName>
    <definedName name="m9Q_QBrDateYear">'Period Admin'!$J$163</definedName>
    <definedName name="m9Q_QBrMDay">'Period Admin'!$J$161</definedName>
    <definedName name="m9Q_Qn">'Period Admin'!$J$153</definedName>
    <definedName name="m9Q_Qn_Y">'Period Admin'!$J$158</definedName>
    <definedName name="m9Q_Qn_Year">'Period Admin'!$J$157</definedName>
    <definedName name="m9Q_YearMonth">'Period Admin'!$J$160</definedName>
    <definedName name="PubValues1">#REF!</definedName>
    <definedName name="PubValues10">#REF!</definedName>
    <definedName name="PubValues11">#REF!</definedName>
    <definedName name="PubValues12">#REF!</definedName>
    <definedName name="PubValues13">#REF!</definedName>
    <definedName name="PubValues14">#REF!</definedName>
    <definedName name="PubValues2">#REF!</definedName>
    <definedName name="PubValues3">#REF!</definedName>
    <definedName name="PubValues4">#REF!</definedName>
    <definedName name="PubValues5">#REF!</definedName>
    <definedName name="PubValues6">#REF!</definedName>
    <definedName name="PubValues7">#REF!</definedName>
    <definedName name="PubValues8">#REF!</definedName>
    <definedName name="PubValues9">#REF!</definedName>
    <definedName name="Q_No">'Period Admin'!$L$2</definedName>
    <definedName name="QuarterT">'Period Admin'!$F$35</definedName>
    <definedName name="SelectIdx">'Period Admin'!$L$3</definedName>
    <definedName name="SelLng">#REF!</definedName>
    <definedName name="SelLngNo">#REF!</definedName>
    <definedName name="SelQ">#REF!</definedName>
    <definedName name="SelYear">#REF!</definedName>
    <definedName name="_xlnm.Print_Area" localSheetId="9">'Business_Area_APMEA-Q'!$C$1:$L$14</definedName>
    <definedName name="_xlnm.Print_Area" localSheetId="19">'Business_Area_APMEA-Y'!$A$1:$E$19</definedName>
    <definedName name="_xlnm.Print_Area" localSheetId="6">'Business_Area_Europe-Q'!$C$1:$L$17</definedName>
    <definedName name="_xlnm.Print_Area" localSheetId="16">'Business_Area_Europe-Y'!$A$1:$E$19</definedName>
    <definedName name="_xlnm.Print_Area" localSheetId="8">'Business_Area_LA-Q'!$E$1:$L$15</definedName>
    <definedName name="_xlnm.Print_Area" localSheetId="18">'Business_Area_LA-Y'!$A$1:$E$19</definedName>
    <definedName name="_xlnm.Print_Area" localSheetId="7">'Business_Area_NA-Q'!$E$1:$L$15</definedName>
    <definedName name="_xlnm.Print_Area" localSheetId="17">'Business_Area_NA-Y'!$A$1:$E$19</definedName>
    <definedName name="_xlnm.Print_Area" localSheetId="3">'Change_in_net_sales-Q'!$E$1:$Q$18</definedName>
    <definedName name="_xlnm.Print_Area" localSheetId="13">'Change_in_net_sales-Y'!$A$3:$G$11</definedName>
    <definedName name="_xlnm.Print_Area" localSheetId="22">'Employees_by_country-Y'!$E$1:$E$98</definedName>
    <definedName name="_xlnm.Print_Area" localSheetId="11">'Key_ratios-Q'!$E$1:$P$19</definedName>
    <definedName name="_xlnm.Print_Area" localSheetId="25">'Net_debt-Y'!$A$1:$G$13</definedName>
    <definedName name="_xlnm.Print_Area" localSheetId="2">'Net_sales_and_income-Q'!$F$3:$Q$25</definedName>
    <definedName name="_xlnm.Print_Area" localSheetId="21">'Net_sales_by_country-Y'!$E$4:$F$100</definedName>
    <definedName name="_xlnm.Print_Area" localSheetId="10">'Professional_Products-Q'!$E$1:$L$14</definedName>
    <definedName name="_xlnm.Print_Area" localSheetId="20">'Professional_Products-Y'!$A$1:$E$18</definedName>
    <definedName name="_xlnm.Print_Area" localSheetId="26">'Rating-Y'!$E$4:$G$11</definedName>
    <definedName name="_xlnm.Print_Titles" localSheetId="22">'Employees_by_country-Y'!$3:$7</definedName>
    <definedName name="_xlnm.Print_Titles" localSheetId="21">'Net_sales_by_country-Y'!$3:$7</definedName>
  </definedNames>
  <calcPr fullCalcOnLoad="1"/>
</workbook>
</file>

<file path=xl/sharedStrings.xml><?xml version="1.0" encoding="utf-8"?>
<sst xmlns="http://schemas.openxmlformats.org/spreadsheetml/2006/main" count="2650" uniqueCount="621">
  <si>
    <t>Income for the period</t>
  </si>
  <si>
    <t>Total</t>
  </si>
  <si>
    <t>-</t>
  </si>
  <si>
    <t>Amounts in SEKm unless otherwise indicated</t>
  </si>
  <si>
    <t>Quarter</t>
  </si>
  <si>
    <t>Year-to-date</t>
  </si>
  <si>
    <t>Headinglong</t>
  </si>
  <si>
    <t>Heading2</t>
  </si>
  <si>
    <t>Plain</t>
  </si>
  <si>
    <t>Subtotal</t>
  </si>
  <si>
    <t>Break</t>
  </si>
  <si>
    <t>y</t>
  </si>
  <si>
    <t>Inventories</t>
  </si>
  <si>
    <t>Trade receivables</t>
  </si>
  <si>
    <t>Total assets</t>
  </si>
  <si>
    <t>Accounts payable</t>
  </si>
  <si>
    <t>Note</t>
  </si>
  <si>
    <t>Cash flow from operations</t>
  </si>
  <si>
    <t>Other</t>
  </si>
  <si>
    <t>Cash flow from investments</t>
  </si>
  <si>
    <t>Cash flow from operations and investments</t>
  </si>
  <si>
    <t>Average number of employees</t>
  </si>
  <si>
    <t>Key ratios</t>
  </si>
  <si>
    <t>Interest-bearing liabilities</t>
  </si>
  <si>
    <t>Equity</t>
  </si>
  <si>
    <t>Sales growth</t>
  </si>
  <si>
    <t>Nav_groups</t>
  </si>
  <si>
    <t>Contents</t>
  </si>
  <si>
    <t>finstat</t>
  </si>
  <si>
    <t>Graph_attr</t>
  </si>
  <si>
    <t>Graph_unit</t>
  </si>
  <si>
    <t>sv</t>
  </si>
  <si>
    <t>en</t>
  </si>
  <si>
    <t>h</t>
  </si>
  <si>
    <t>x</t>
  </si>
  <si>
    <t>u</t>
  </si>
  <si>
    <t>WESTERN EUROPE</t>
  </si>
  <si>
    <t>Italy</t>
  </si>
  <si>
    <t>Sweden</t>
  </si>
  <si>
    <t>Germany</t>
  </si>
  <si>
    <t>Spain</t>
  </si>
  <si>
    <t>France</t>
  </si>
  <si>
    <t>UK</t>
  </si>
  <si>
    <t>Denmark</t>
  </si>
  <si>
    <t>Switzerland</t>
  </si>
  <si>
    <t>Belgium</t>
  </si>
  <si>
    <t>Austria</t>
  </si>
  <si>
    <t>The Netherlands</t>
  </si>
  <si>
    <t>Finland</t>
  </si>
  <si>
    <t>Greece</t>
  </si>
  <si>
    <t>Norway</t>
  </si>
  <si>
    <t>Ireland</t>
  </si>
  <si>
    <t>Portugal</t>
  </si>
  <si>
    <t>Luxembourg</t>
  </si>
  <si>
    <t>Total Western Europe</t>
  </si>
  <si>
    <t>EASTERN EUROPE</t>
  </si>
  <si>
    <t>Hungary</t>
  </si>
  <si>
    <t>Romania</t>
  </si>
  <si>
    <t>Poland</t>
  </si>
  <si>
    <t>Czech Republic</t>
  </si>
  <si>
    <t>Russia</t>
  </si>
  <si>
    <t>Baltic nations</t>
  </si>
  <si>
    <t>Turkey</t>
  </si>
  <si>
    <t>Slovakia</t>
  </si>
  <si>
    <t>Bulgaria</t>
  </si>
  <si>
    <t>Ukraine</t>
  </si>
  <si>
    <t>Total Eastern Europe</t>
  </si>
  <si>
    <t>Total EUROPE</t>
  </si>
  <si>
    <t>NORTH AMERICA</t>
  </si>
  <si>
    <t>USA</t>
  </si>
  <si>
    <t>Canada</t>
  </si>
  <si>
    <t>Total North America</t>
  </si>
  <si>
    <t>LATIN AMERICA</t>
  </si>
  <si>
    <t>Brazil</t>
  </si>
  <si>
    <t>Mexico</t>
  </si>
  <si>
    <t>Colombia</t>
  </si>
  <si>
    <t>Ecuador</t>
  </si>
  <si>
    <t>Argentina</t>
  </si>
  <si>
    <t>Peru</t>
  </si>
  <si>
    <t>Venezuela</t>
  </si>
  <si>
    <t>Paraguay</t>
  </si>
  <si>
    <t>Chile</t>
  </si>
  <si>
    <t>Uruguay</t>
  </si>
  <si>
    <t>Total Latin America</t>
  </si>
  <si>
    <t>ASIA</t>
  </si>
  <si>
    <t>Far East</t>
  </si>
  <si>
    <t>China</t>
  </si>
  <si>
    <t>India</t>
  </si>
  <si>
    <t>Indonesia</t>
  </si>
  <si>
    <t>Thailand</t>
  </si>
  <si>
    <t>Japan</t>
  </si>
  <si>
    <t>Malaysia</t>
  </si>
  <si>
    <t>Singapore</t>
  </si>
  <si>
    <t>Vietnam</t>
  </si>
  <si>
    <t>Philippines</t>
  </si>
  <si>
    <t>Hong Kong</t>
  </si>
  <si>
    <t>South Korea</t>
  </si>
  <si>
    <t>Taiwan</t>
  </si>
  <si>
    <t>Total Far East</t>
  </si>
  <si>
    <t>Middle East</t>
  </si>
  <si>
    <t>Total Middle East</t>
  </si>
  <si>
    <t>Total ASIA</t>
  </si>
  <si>
    <t>AFRICA</t>
  </si>
  <si>
    <t>South Africa</t>
  </si>
  <si>
    <t>Total Africa</t>
  </si>
  <si>
    <t>OCEANIA</t>
  </si>
  <si>
    <t>Australia</t>
  </si>
  <si>
    <t>New Zealand</t>
  </si>
  <si>
    <t>Total Oceania</t>
  </si>
  <si>
    <t>GROUP TOTAL</t>
  </si>
  <si>
    <t>Net sales by country (Y)</t>
  </si>
  <si>
    <t>Iceland</t>
  </si>
  <si>
    <t>Egypt</t>
  </si>
  <si>
    <t>Morocco</t>
  </si>
  <si>
    <t>1) Sales by country receiving products.</t>
  </si>
  <si>
    <t>Net sales and income</t>
  </si>
  <si>
    <t xml:space="preserve">Net sales </t>
  </si>
  <si>
    <t xml:space="preserve">Depreciation and amortization </t>
  </si>
  <si>
    <t xml:space="preserve">Operating income </t>
  </si>
  <si>
    <t xml:space="preserve">Income after financial items </t>
  </si>
  <si>
    <t>Cash flow from operations excluding change in operating assets and liabilities</t>
  </si>
  <si>
    <t>Changes in operating assets and liabilities</t>
  </si>
  <si>
    <t>Dividends and redemption and repurchase of shares</t>
  </si>
  <si>
    <t xml:space="preserve">Net assets </t>
  </si>
  <si>
    <t>Working capital</t>
  </si>
  <si>
    <r>
      <t>Income for the period</t>
    </r>
    <r>
      <rPr>
        <vertAlign val="superscript"/>
        <sz val="10"/>
        <rFont val="Arial"/>
        <family val="2"/>
      </rPr>
      <t xml:space="preserve">         </t>
    </r>
  </si>
  <si>
    <t>Net debt/equity</t>
  </si>
  <si>
    <t>Long-term debt</t>
  </si>
  <si>
    <t>Outlook</t>
  </si>
  <si>
    <t>Short-term debt</t>
  </si>
  <si>
    <t>Rating</t>
  </si>
  <si>
    <t>Standard &amp; Poor's</t>
  </si>
  <si>
    <t>Short-term debt, Nordic</t>
  </si>
  <si>
    <t>BBB</t>
  </si>
  <si>
    <t>Stable</t>
  </si>
  <si>
    <t>A-2</t>
  </si>
  <si>
    <t>K-2</t>
  </si>
  <si>
    <t>BBB+</t>
  </si>
  <si>
    <t>Year</t>
  </si>
  <si>
    <t>SEKm</t>
  </si>
  <si>
    <t>AB Electrolux</t>
  </si>
  <si>
    <t>Financial information</t>
  </si>
  <si>
    <t>Quarterly data</t>
  </si>
  <si>
    <t>Cash flow (Q)</t>
  </si>
  <si>
    <t>Key ratios (Q)</t>
  </si>
  <si>
    <t>Yearly data</t>
  </si>
  <si>
    <t>Cash flow (Y)</t>
  </si>
  <si>
    <t>Employees by country (Y)</t>
  </si>
  <si>
    <t>Debt information</t>
  </si>
  <si>
    <t>Capital expenditure</t>
  </si>
  <si>
    <t>Change in net sales (Q)</t>
  </si>
  <si>
    <t>Change in net sales (Y)</t>
  </si>
  <si>
    <t>Key ratios (Y)</t>
  </si>
  <si>
    <t>Professional Products (Y)</t>
  </si>
  <si>
    <t>Change in net sales</t>
  </si>
  <si>
    <t>K-1</t>
  </si>
  <si>
    <t>Group total</t>
  </si>
  <si>
    <t>Repayment schedule long term borrowings</t>
  </si>
  <si>
    <t>Data as of year</t>
  </si>
  <si>
    <t>Net debt</t>
  </si>
  <si>
    <t>Financial net debt</t>
  </si>
  <si>
    <t>Provisions for post-employment benefits, net</t>
  </si>
  <si>
    <t xml:space="preserve">Dividend </t>
  </si>
  <si>
    <t>Amounts in SEKm unless otherwise stated</t>
  </si>
  <si>
    <t>Debenture and bond loans</t>
  </si>
  <si>
    <t>Bank and other loans</t>
  </si>
  <si>
    <t>Short-term part of long-term loans</t>
  </si>
  <si>
    <t>Net debt (Y)</t>
  </si>
  <si>
    <t>%</t>
  </si>
  <si>
    <t>Operating margin</t>
  </si>
  <si>
    <t>SEK</t>
  </si>
  <si>
    <t>Amounts in</t>
  </si>
  <si>
    <t>Organic growth</t>
  </si>
  <si>
    <t>Acquisitions and divestments</t>
  </si>
  <si>
    <t>Changes in exchange rates</t>
  </si>
  <si>
    <t>Total change in net sales</t>
  </si>
  <si>
    <t>Return on net assets</t>
  </si>
  <si>
    <t>Heading3</t>
  </si>
  <si>
    <t>Yearly</t>
  </si>
  <si>
    <t>Repayment schedule of long-term borrowings</t>
  </si>
  <si>
    <t>ratio</t>
  </si>
  <si>
    <t>number</t>
  </si>
  <si>
    <t>Organic growth, %</t>
  </si>
  <si>
    <t>Operating margin,%</t>
  </si>
  <si>
    <t>A-</t>
  </si>
  <si>
    <t>2017 Q1</t>
  </si>
  <si>
    <t>2017 Q2</t>
  </si>
  <si>
    <t>2017 Q3</t>
  </si>
  <si>
    <t>2017 Q4</t>
  </si>
  <si>
    <t>2018 Q1</t>
  </si>
  <si>
    <t>2018 Q2</t>
  </si>
  <si>
    <t>2018 Q3</t>
  </si>
  <si>
    <t>2018 Q4</t>
  </si>
  <si>
    <t>Sales growth, %</t>
  </si>
  <si>
    <r>
      <t>Non-recurring items</t>
    </r>
    <r>
      <rPr>
        <vertAlign val="superscript"/>
        <sz val="10"/>
        <rFont val="Arial"/>
        <family val="2"/>
      </rPr>
      <t>1)</t>
    </r>
  </si>
  <si>
    <t>Operating income excl. non-recurring items</t>
  </si>
  <si>
    <t>Operating margin excl. non-recurring items,%</t>
  </si>
  <si>
    <r>
      <t>2017</t>
    </r>
    <r>
      <rPr>
        <b/>
        <vertAlign val="superscript"/>
        <sz val="10"/>
        <rFont val="Arial"/>
        <family val="2"/>
      </rPr>
      <t>2)</t>
    </r>
  </si>
  <si>
    <t>2) Amounts for 2017 have been restated where applicable as a consequence of the introduction of IFRS 15 Revenue from Contracts with Customers.</t>
  </si>
  <si>
    <t xml:space="preserve">Business area Europe </t>
  </si>
  <si>
    <t>Business Area North America</t>
  </si>
  <si>
    <t>Business Area Latin America</t>
  </si>
  <si>
    <t>Business Area Asia Pacific, Middle East and Africa</t>
  </si>
  <si>
    <t>Amounts in % unless otherwise stated</t>
  </si>
  <si>
    <t>Capital turnover, times</t>
  </si>
  <si>
    <r>
      <t>2017</t>
    </r>
    <r>
      <rPr>
        <b/>
        <vertAlign val="superscript"/>
        <sz val="10"/>
        <rFont val="Arial"/>
        <family val="2"/>
      </rPr>
      <t>1)</t>
    </r>
  </si>
  <si>
    <r>
      <t>Operating margin excl. non-recurring items</t>
    </r>
    <r>
      <rPr>
        <vertAlign val="superscript"/>
        <sz val="10"/>
        <rFont val="Geneva"/>
        <family val="0"/>
      </rPr>
      <t xml:space="preserve"> 2)</t>
    </r>
  </si>
  <si>
    <t>1) Amounts for 2017 have been restated where applicable as a consequence of the introduction of IFRS 15 Revenue from Contracts with Customers.</t>
  </si>
  <si>
    <t>3) Net sales are annualized.</t>
  </si>
  <si>
    <t>1) For more information, please see interim reports and Annual Report (note 7).</t>
  </si>
  <si>
    <t>2) For more information, please see interim reports and Annual Report (note 7).</t>
  </si>
  <si>
    <r>
      <t xml:space="preserve">Operating income excl. non-recurring items </t>
    </r>
    <r>
      <rPr>
        <vertAlign val="superscript"/>
        <sz val="10"/>
        <rFont val="Arial"/>
        <family val="2"/>
      </rPr>
      <t>2)</t>
    </r>
  </si>
  <si>
    <t>as of December 31</t>
  </si>
  <si>
    <t>2014</t>
  </si>
  <si>
    <t>2015</t>
  </si>
  <si>
    <t>2016</t>
  </si>
  <si>
    <t>2017</t>
  </si>
  <si>
    <t>2018</t>
  </si>
  <si>
    <t>Total borrowings</t>
  </si>
  <si>
    <t>Liquid funds</t>
  </si>
  <si>
    <t>subtotal</t>
  </si>
  <si>
    <t>Net provision for post-employment benefits</t>
  </si>
  <si>
    <r>
      <t xml:space="preserve">Operating income excl. non-recurring items </t>
    </r>
    <r>
      <rPr>
        <vertAlign val="superscript"/>
        <sz val="10"/>
        <rFont val="Arial"/>
        <family val="2"/>
      </rPr>
      <t>1)</t>
    </r>
  </si>
  <si>
    <r>
      <t>Operating margin excl. non-recurring items</t>
    </r>
    <r>
      <rPr>
        <vertAlign val="superscript"/>
        <sz val="10"/>
        <rFont val="Geneva"/>
        <family val="0"/>
      </rPr>
      <t xml:space="preserve"> 1)</t>
    </r>
  </si>
  <si>
    <t>Quarterly</t>
  </si>
  <si>
    <t xml:space="preserve">   of which capital expenditures in property, plant and equipment</t>
  </si>
  <si>
    <t>Capital expenditures in property, plant and equipment as % of net sales</t>
  </si>
  <si>
    <t>SWE</t>
  </si>
  <si>
    <t>ENG</t>
  </si>
  <si>
    <t xml:space="preserve"> </t>
  </si>
  <si>
    <t>2019 Q1</t>
  </si>
  <si>
    <t>Q_No</t>
  </si>
  <si>
    <t>SelectIdx</t>
  </si>
  <si>
    <t>Namn</t>
  </si>
  <si>
    <t>Rubrik till vald period</t>
  </si>
  <si>
    <t>Divider</t>
  </si>
  <si>
    <t>Name</t>
  </si>
  <si>
    <t>Y</t>
  </si>
  <si>
    <t>ActPer_nMonth</t>
  </si>
  <si>
    <t>Tre månader</t>
  </si>
  <si>
    <t>Sex månader</t>
  </si>
  <si>
    <t>Nio månader</t>
  </si>
  <si>
    <t>Helår</t>
  </si>
  <si>
    <t>Three months</t>
  </si>
  <si>
    <t>Six months</t>
  </si>
  <si>
    <t>Nine months</t>
  </si>
  <si>
    <t>Full-year</t>
  </si>
  <si>
    <t>ActYear</t>
  </si>
  <si>
    <t>ActY</t>
  </si>
  <si>
    <t>ActPer_noMonth</t>
  </si>
  <si>
    <t>3 månader</t>
  </si>
  <si>
    <t>6 månader</t>
  </si>
  <si>
    <t>9 månader</t>
  </si>
  <si>
    <t>12 månader</t>
  </si>
  <si>
    <t>3 months</t>
  </si>
  <si>
    <t>6 months</t>
  </si>
  <si>
    <t>9 months</t>
  </si>
  <si>
    <t>12 months</t>
  </si>
  <si>
    <t>ActYear_m1Y</t>
  </si>
  <si>
    <t>ActY_m1Y</t>
  </si>
  <si>
    <t>Perioden</t>
  </si>
  <si>
    <t>ActQn</t>
  </si>
  <si>
    <t>ActYear_m2Y</t>
  </si>
  <si>
    <t>ActY_m2Y</t>
  </si>
  <si>
    <t>ActQ</t>
  </si>
  <si>
    <t>ActYear_m3Y</t>
  </si>
  <si>
    <t>ActY_m3Y</t>
  </si>
  <si>
    <t>ActQ_Year</t>
  </si>
  <si>
    <t>ActYear_m4Y</t>
  </si>
  <si>
    <t>ActY_m4Y</t>
  </si>
  <si>
    <t>ActQ_Y</t>
  </si>
  <si>
    <t>ActYear_m5Y</t>
  </si>
  <si>
    <t>ActY_m5Y</t>
  </si>
  <si>
    <t>ActQn_Year</t>
  </si>
  <si>
    <t>ActYear_m6Y</t>
  </si>
  <si>
    <t>ActY_m6Y</t>
  </si>
  <si>
    <t>ActQn_Y</t>
  </si>
  <si>
    <t>ActYear_m7Y</t>
  </si>
  <si>
    <t>ActY_m7Y</t>
  </si>
  <si>
    <t>ActMon</t>
  </si>
  <si>
    <t>03</t>
  </si>
  <si>
    <t>06</t>
  </si>
  <si>
    <t>09</t>
  </si>
  <si>
    <t>12</t>
  </si>
  <si>
    <t>ActYear_m8Y</t>
  </si>
  <si>
    <t>ActY_m8Y</t>
  </si>
  <si>
    <t>ActYearMonth</t>
  </si>
  <si>
    <t>ActYear_m9Y</t>
  </si>
  <si>
    <t>ActY_m9Y</t>
  </si>
  <si>
    <t>ActQBrMDay</t>
  </si>
  <si>
    <t>31 mar.</t>
  </si>
  <si>
    <t>30 jun.</t>
  </si>
  <si>
    <t>30 sep.</t>
  </si>
  <si>
    <t>31 dec.</t>
  </si>
  <si>
    <t>Mar. 31</t>
  </si>
  <si>
    <t>Jun. 30</t>
  </si>
  <si>
    <t>Sep. 30</t>
  </si>
  <si>
    <t>Dec. 31</t>
  </si>
  <si>
    <t>ActYear_m10Y</t>
  </si>
  <si>
    <t>ActY_m10Y</t>
  </si>
  <si>
    <t>ActQBrDate</t>
  </si>
  <si>
    <t>ActQBrDateYear</t>
  </si>
  <si>
    <t>ActHYear</t>
  </si>
  <si>
    <t>ActQBrDateY</t>
  </si>
  <si>
    <t>ActHYear_m1Y</t>
  </si>
  <si>
    <t>ActPerYear</t>
  </si>
  <si>
    <t>ActPerY</t>
  </si>
  <si>
    <t>ActFullYear</t>
  </si>
  <si>
    <t>jan-dec</t>
  </si>
  <si>
    <t>Jan-Dec</t>
  </si>
  <si>
    <t>ActPer</t>
  </si>
  <si>
    <t>jan-mar</t>
  </si>
  <si>
    <t>apr-jun</t>
  </si>
  <si>
    <t>jul-sep</t>
  </si>
  <si>
    <t>okt-dec</t>
  </si>
  <si>
    <t>Jan-Mar</t>
  </si>
  <si>
    <t>Apr-Jun</t>
  </si>
  <si>
    <t>Jul-Sep</t>
  </si>
  <si>
    <t>Oct-Dec</t>
  </si>
  <si>
    <t>ActFullYear_m1Y</t>
  </si>
  <si>
    <t>ActAckPer</t>
  </si>
  <si>
    <t>jan-jun</t>
  </si>
  <si>
    <t>jan-sep</t>
  </si>
  <si>
    <t>Jan-Jun</t>
  </si>
  <si>
    <t>Jan-Sep</t>
  </si>
  <si>
    <t>FullYear</t>
  </si>
  <si>
    <t>Perioden minus 1Q</t>
  </si>
  <si>
    <t>m1Q_Qn</t>
  </si>
  <si>
    <t>FullYearBrDay</t>
  </si>
  <si>
    <t>m1Q_Q</t>
  </si>
  <si>
    <t>FullYearBrDate</t>
  </si>
  <si>
    <t>m1Q_Q_Year</t>
  </si>
  <si>
    <t>ActFullYearM</t>
  </si>
  <si>
    <t>m1Q_Q_Y</t>
  </si>
  <si>
    <t>ActFullYearM_1Y</t>
  </si>
  <si>
    <t>m1Q_Qn_Year</t>
  </si>
  <si>
    <t>FullYearBrDate_1Y</t>
  </si>
  <si>
    <t>m1Q_Qn_Y</t>
  </si>
  <si>
    <t>FullYearBrDate_2Y</t>
  </si>
  <si>
    <t>m1Q_Mon</t>
  </si>
  <si>
    <t>FullYearBrDate_3Y</t>
  </si>
  <si>
    <t>m1Q_YearMonth</t>
  </si>
  <si>
    <t>m1Q_QBrMDay</t>
  </si>
  <si>
    <t>FullYearT</t>
  </si>
  <si>
    <t>m1Q_QBrDate</t>
  </si>
  <si>
    <t>QuarterT</t>
  </si>
  <si>
    <t>Kvartal</t>
  </si>
  <si>
    <t>m1Q_QBrDateYear</t>
  </si>
  <si>
    <t>m1Q_QBrDateY</t>
  </si>
  <si>
    <t>AARO_Q</t>
  </si>
  <si>
    <t>m1Q_PerYear</t>
  </si>
  <si>
    <t>AARO_Q_m1Q</t>
  </si>
  <si>
    <t>m1Q_PerY</t>
  </si>
  <si>
    <t>AARO_Q_m2Q</t>
  </si>
  <si>
    <t>m1Q_Per</t>
  </si>
  <si>
    <t>AARO_Q_m3Q</t>
  </si>
  <si>
    <t>m1Q_AckPer</t>
  </si>
  <si>
    <t>AARO_Q_m4Q</t>
  </si>
  <si>
    <t>Perioden minus 2Q</t>
  </si>
  <si>
    <t>m2Q_Qn</t>
  </si>
  <si>
    <t>AARO_Q_m5Q</t>
  </si>
  <si>
    <t>m2Q_Q</t>
  </si>
  <si>
    <t>AARO_Q_m6Q</t>
  </si>
  <si>
    <t>m2Q_Q_Year</t>
  </si>
  <si>
    <t>AARO_Q_m7Q</t>
  </si>
  <si>
    <t>m2Q_Q_Y</t>
  </si>
  <si>
    <t>AARO_Q_m8Q</t>
  </si>
  <si>
    <t>m2Q_Qn_Year</t>
  </si>
  <si>
    <t>m2Q_Qn_Y</t>
  </si>
  <si>
    <t>m2Q_Mon</t>
  </si>
  <si>
    <t>AARO_Ack</t>
  </si>
  <si>
    <t>m2Q_YearMonth</t>
  </si>
  <si>
    <t>AARO_Ack_m1Q</t>
  </si>
  <si>
    <t>m2Q_QBrMDay</t>
  </si>
  <si>
    <t>AARO_Ack_m2Q</t>
  </si>
  <si>
    <t>m2Q_QBrDate</t>
  </si>
  <si>
    <t>AARO_Ack_m3Q</t>
  </si>
  <si>
    <t>m2Q_QBrDateYear</t>
  </si>
  <si>
    <t>AARO_Ack_m4Q</t>
  </si>
  <si>
    <t>m2Q_QBrDateY</t>
  </si>
  <si>
    <t>AARO_LastYear</t>
  </si>
  <si>
    <t>m2Q_PerYear</t>
  </si>
  <si>
    <t>AARO_Ack_m5Q</t>
  </si>
  <si>
    <t>m2Q_PerY</t>
  </si>
  <si>
    <t>AARO_Ack_m6Q</t>
  </si>
  <si>
    <t>m2Q_Per</t>
  </si>
  <si>
    <t>AARO_Ack_m7Q</t>
  </si>
  <si>
    <t>m2Q_AckPer</t>
  </si>
  <si>
    <t>AARO_Ack_m8Q</t>
  </si>
  <si>
    <t>Perioden minus 3Q</t>
  </si>
  <si>
    <t>m3Q_Qn</t>
  </si>
  <si>
    <t>AARO_LastYear_2</t>
  </si>
  <si>
    <t>m3Q_Q</t>
  </si>
  <si>
    <t>m3Q_Q_Year</t>
  </si>
  <si>
    <t>m3Q_Q_Y</t>
  </si>
  <si>
    <t>m3Q_Qn_Year</t>
  </si>
  <si>
    <t>m3Q_Qn_Y</t>
  </si>
  <si>
    <t>m3Q_Mon</t>
  </si>
  <si>
    <t>m3Q_YearMonth</t>
  </si>
  <si>
    <t>m3Q_QBrMDay</t>
  </si>
  <si>
    <t>m3Q_QBrDate</t>
  </si>
  <si>
    <t>m3Q_QBrDateYear</t>
  </si>
  <si>
    <t>m3Q_QBrDateY</t>
  </si>
  <si>
    <t>m3Q_PerYear</t>
  </si>
  <si>
    <t>m3Q_PerY</t>
  </si>
  <si>
    <t>m3Q_Per</t>
  </si>
  <si>
    <t>m3Q_AckPer</t>
  </si>
  <si>
    <t>Perioden minus 4Q</t>
  </si>
  <si>
    <t>m4Q_Qn</t>
  </si>
  <si>
    <t>m4Q_Q</t>
  </si>
  <si>
    <t>m4Q_Q_Year</t>
  </si>
  <si>
    <t>m4Q_Q_Y</t>
  </si>
  <si>
    <t>m4Q_Qn_Year</t>
  </si>
  <si>
    <t>m4Q_Qn_Y</t>
  </si>
  <si>
    <t>m4Q_Mon</t>
  </si>
  <si>
    <t>m4Q_YearMonth</t>
  </si>
  <si>
    <t>m4Q_QBrMDay</t>
  </si>
  <si>
    <t>m4Q_QBrDate</t>
  </si>
  <si>
    <t>m4Q_QBrDateYear</t>
  </si>
  <si>
    <t>m4Q_QBrDateY</t>
  </si>
  <si>
    <t>m4Q_PerYear</t>
  </si>
  <si>
    <t>m4Q_PerY</t>
  </si>
  <si>
    <t>m4Q_Per</t>
  </si>
  <si>
    <t>m4Q_AckPer</t>
  </si>
  <si>
    <t>Perioden minus 5Q</t>
  </si>
  <si>
    <t>m5Q_Qn</t>
  </si>
  <si>
    <t>m5Q_Q</t>
  </si>
  <si>
    <t>m5Q_Q_Year</t>
  </si>
  <si>
    <t>m5Q_Q_Y</t>
  </si>
  <si>
    <t>m5Q_Qn_Year</t>
  </si>
  <si>
    <t>m5Q_Qn_Y</t>
  </si>
  <si>
    <t>m5Q_Mon</t>
  </si>
  <si>
    <t>m5Q_YearMonth</t>
  </si>
  <si>
    <t>m5Q_QBrMDay</t>
  </si>
  <si>
    <t>m5Q_QBrDate</t>
  </si>
  <si>
    <t>m5Q_QBrDateYear</t>
  </si>
  <si>
    <t>m5Q_QBrDateY</t>
  </si>
  <si>
    <t>m5Q_PerYear</t>
  </si>
  <si>
    <t>m5Q_PerY</t>
  </si>
  <si>
    <t>m5Q_Per</t>
  </si>
  <si>
    <t>m5Q_AckPer</t>
  </si>
  <si>
    <t>Perioden minus 6Q</t>
  </si>
  <si>
    <t>m6Q_Qn</t>
  </si>
  <si>
    <t>m6Q_Q</t>
  </si>
  <si>
    <t>m6Q_Q_Year</t>
  </si>
  <si>
    <t>m6Q_Q_Y</t>
  </si>
  <si>
    <t>m6Q_Qn_Year</t>
  </si>
  <si>
    <t>m6Q_Qn_Y</t>
  </si>
  <si>
    <t>m6Q_Mon</t>
  </si>
  <si>
    <t>m6Q_YearMonth</t>
  </si>
  <si>
    <t>m6Q_QBrMDay</t>
  </si>
  <si>
    <t>m6Q_QBrDate</t>
  </si>
  <si>
    <t>m6Q_QBrDateYear</t>
  </si>
  <si>
    <t>m6Q_QBrDateY</t>
  </si>
  <si>
    <t>m6Q_PerYear</t>
  </si>
  <si>
    <t>m6Q_PerY</t>
  </si>
  <si>
    <t>m6Q_Per</t>
  </si>
  <si>
    <t>m6Q_AckPer</t>
  </si>
  <si>
    <t>Perioden minus 7Q</t>
  </si>
  <si>
    <t>m7Q_Qn</t>
  </si>
  <si>
    <t>m7Q_Q</t>
  </si>
  <si>
    <t>m7Q_Q_Year</t>
  </si>
  <si>
    <t>m7Q_Q_Y</t>
  </si>
  <si>
    <t>m7Q_Qn_Year</t>
  </si>
  <si>
    <t>m7Q_Qn_Y</t>
  </si>
  <si>
    <t>m7Q_Mon</t>
  </si>
  <si>
    <t>m7Q_YearMonth</t>
  </si>
  <si>
    <t>m7Q_QBrMDay</t>
  </si>
  <si>
    <t>m7Q_QBrDate</t>
  </si>
  <si>
    <t>m7Q_QBrDateYear</t>
  </si>
  <si>
    <t>m7Q_QBrDateY</t>
  </si>
  <si>
    <t>m7Q_PerYear</t>
  </si>
  <si>
    <t>m7Q_PerY</t>
  </si>
  <si>
    <t>m7Q_Per</t>
  </si>
  <si>
    <t>m7Q_AckPer</t>
  </si>
  <si>
    <t>Perioden minus 8Q</t>
  </si>
  <si>
    <t>m8Q_Qn</t>
  </si>
  <si>
    <t>m8Q_Q</t>
  </si>
  <si>
    <t>m8Q_Q_Year</t>
  </si>
  <si>
    <t>m8Q_Q_Y</t>
  </si>
  <si>
    <t>m8Q_Qn_Year</t>
  </si>
  <si>
    <t>m8Q_Qn_Y</t>
  </si>
  <si>
    <t>m8Q_Mon</t>
  </si>
  <si>
    <t>m8Q_YearMonth</t>
  </si>
  <si>
    <t>m8Q_QBrMDay</t>
  </si>
  <si>
    <t>m8Q_QBrDate</t>
  </si>
  <si>
    <t>m8Q_QBrDateYear</t>
  </si>
  <si>
    <t>m8Q_QBrDateY</t>
  </si>
  <si>
    <t>m8Q_PerYear</t>
  </si>
  <si>
    <t>m8Q_PerY</t>
  </si>
  <si>
    <t>m8Q_Per</t>
  </si>
  <si>
    <t>m8Q_AckPer</t>
  </si>
  <si>
    <t>Perioden minus 9Q</t>
  </si>
  <si>
    <t>m9Q_Qn</t>
  </si>
  <si>
    <t>m9Q_Q</t>
  </si>
  <si>
    <t>m9Q_Q_Year</t>
  </si>
  <si>
    <t>m9Q_Q_Y</t>
  </si>
  <si>
    <t>m9Q_Qn_Year</t>
  </si>
  <si>
    <t>m9Q_Qn_Y</t>
  </si>
  <si>
    <t>m9Q_Mon</t>
  </si>
  <si>
    <t>m9Q_YearMonth</t>
  </si>
  <si>
    <t>m9Q_QBrMDay</t>
  </si>
  <si>
    <t>m9Q_QBrDate</t>
  </si>
  <si>
    <t>m9Q_QBrDateYear</t>
  </si>
  <si>
    <t>m9Q_QBrDateY</t>
  </si>
  <si>
    <t>m9Q_PerYear</t>
  </si>
  <si>
    <t>m9Q_PerY</t>
  </si>
  <si>
    <t>m9Q_Per</t>
  </si>
  <si>
    <t>m9Q_AckPer</t>
  </si>
  <si>
    <t>Perioden minus 1 Year</t>
  </si>
  <si>
    <t>m1Y_ActQn</t>
  </si>
  <si>
    <t>m1Y_ActQ</t>
  </si>
  <si>
    <t>m1Y_ActQ_Year</t>
  </si>
  <si>
    <t>m1Y_ActQ_Y</t>
  </si>
  <si>
    <t>m1Y_ActQn_Year</t>
  </si>
  <si>
    <t>m1Y_ActQn_Y</t>
  </si>
  <si>
    <t>m1Y_ActMon</t>
  </si>
  <si>
    <t>m1Y_ActYearMonth</t>
  </si>
  <si>
    <t>m1Y_ActQBrMDay</t>
  </si>
  <si>
    <t>m1Y_ActQBrDate</t>
  </si>
  <si>
    <t>m1Y_ActQBrDateYear</t>
  </si>
  <si>
    <t>m1Y_ActQBrDateY</t>
  </si>
  <si>
    <t>m1Y_ActPerYear</t>
  </si>
  <si>
    <t>m1Y_ActPerY</t>
  </si>
  <si>
    <t>m1Y_ActPer</t>
  </si>
  <si>
    <t>Jan-mar</t>
  </si>
  <si>
    <t>Apr-jun</t>
  </si>
  <si>
    <t>Jul-sep</t>
  </si>
  <si>
    <t>Okt-dec</t>
  </si>
  <si>
    <t>m1Y_ActAckPer</t>
  </si>
  <si>
    <t>Jan-jun</t>
  </si>
  <si>
    <t>Jan-sep</t>
  </si>
  <si>
    <t>Jan-dec</t>
  </si>
  <si>
    <t>Rullande 12 mån</t>
  </si>
  <si>
    <t>ActQBrDateR12Start</t>
  </si>
  <si>
    <t>1 apr</t>
  </si>
  <si>
    <t>1 jul</t>
  </si>
  <si>
    <t>1 okt</t>
  </si>
  <si>
    <t>1 jan</t>
  </si>
  <si>
    <t>1 Apr</t>
  </si>
  <si>
    <t>1 Jul</t>
  </si>
  <si>
    <t>1 Oct</t>
  </si>
  <si>
    <t>1 Jan</t>
  </si>
  <si>
    <t>ActQBrDateR12Slut</t>
  </si>
  <si>
    <t>§</t>
  </si>
  <si>
    <t>ActQBrDateR12</t>
  </si>
  <si>
    <t>ActAckPerR12</t>
  </si>
  <si>
    <t>apr-mar</t>
  </si>
  <si>
    <t>jul-jun</t>
  </si>
  <si>
    <t>okt-sep</t>
  </si>
  <si>
    <t>Apr-Mar</t>
  </si>
  <si>
    <t>Jul-Jun</t>
  </si>
  <si>
    <t>Oct-Sep</t>
  </si>
  <si>
    <t>2) 2018 numbers restated according to the new business area structure</t>
  </si>
  <si>
    <r>
      <t>2018 Q1</t>
    </r>
    <r>
      <rPr>
        <b/>
        <vertAlign val="superscript"/>
        <sz val="10"/>
        <rFont val="Arial"/>
        <family val="2"/>
      </rPr>
      <t>2)</t>
    </r>
  </si>
  <si>
    <r>
      <t>2018 Q2</t>
    </r>
    <r>
      <rPr>
        <b/>
        <vertAlign val="superscript"/>
        <sz val="10"/>
        <rFont val="Arial"/>
        <family val="2"/>
      </rPr>
      <t>2)</t>
    </r>
  </si>
  <si>
    <r>
      <t>2018 Q3</t>
    </r>
    <r>
      <rPr>
        <b/>
        <vertAlign val="superscript"/>
        <sz val="10"/>
        <rFont val="Arial"/>
        <family val="2"/>
      </rPr>
      <t>2)</t>
    </r>
  </si>
  <si>
    <r>
      <t>2018 Q4</t>
    </r>
    <r>
      <rPr>
        <b/>
        <vertAlign val="superscript"/>
        <sz val="10"/>
        <rFont val="Arial"/>
        <family val="2"/>
      </rPr>
      <t>2)</t>
    </r>
  </si>
  <si>
    <t>Business Area Asia-Pacific, Middle East and Africa</t>
  </si>
  <si>
    <t>Acquisition and divestments</t>
  </si>
  <si>
    <t>Europe (Y)</t>
  </si>
  <si>
    <t>North America (Y)</t>
  </si>
  <si>
    <t>Latin America (Y)</t>
  </si>
  <si>
    <t>Asia-Pacific, Middle East and Africa (Y)</t>
  </si>
  <si>
    <t>Net Sales and Income (Y)</t>
  </si>
  <si>
    <t>Financial position (Q)</t>
  </si>
  <si>
    <t>Financial position (Y)</t>
  </si>
  <si>
    <t>Europe (Q)</t>
  </si>
  <si>
    <t>North America (Q)</t>
  </si>
  <si>
    <t>Latin America (Q)</t>
  </si>
  <si>
    <t>Asia-Pacific, Middle East and Africa (Q)</t>
  </si>
  <si>
    <t>Professional Products (Q)</t>
  </si>
  <si>
    <t>Data per share (Y)</t>
  </si>
  <si>
    <t>Net Sales and income (Q)</t>
  </si>
  <si>
    <t>2019 Q2</t>
  </si>
  <si>
    <t>2019 Q3</t>
  </si>
  <si>
    <r>
      <t>Financial position</t>
    </r>
    <r>
      <rPr>
        <b/>
        <vertAlign val="superscript"/>
        <sz val="10"/>
        <rFont val="Arial"/>
        <family val="2"/>
      </rPr>
      <t>1)</t>
    </r>
  </si>
  <si>
    <r>
      <t>Cash flow</t>
    </r>
    <r>
      <rPr>
        <b/>
        <vertAlign val="superscript"/>
        <sz val="10"/>
        <rFont val="Arial"/>
        <family val="2"/>
      </rPr>
      <t>1)</t>
    </r>
  </si>
  <si>
    <t>Professional Products (discontinued operations)</t>
  </si>
  <si>
    <r>
      <t>Net assets as % of net sales</t>
    </r>
    <r>
      <rPr>
        <vertAlign val="superscript"/>
        <sz val="10"/>
        <rFont val="Arial"/>
        <family val="2"/>
      </rPr>
      <t xml:space="preserve"> 3), 4)</t>
    </r>
  </si>
  <si>
    <r>
      <t>Inventories as % of net sales</t>
    </r>
    <r>
      <rPr>
        <vertAlign val="superscript"/>
        <sz val="10"/>
        <rFont val="Arial"/>
        <family val="2"/>
      </rPr>
      <t xml:space="preserve"> 3), 4)</t>
    </r>
  </si>
  <si>
    <r>
      <t>Trade receivables as % of net sales</t>
    </r>
    <r>
      <rPr>
        <vertAlign val="superscript"/>
        <sz val="10"/>
        <rFont val="Arial"/>
        <family val="2"/>
      </rPr>
      <t xml:space="preserve"> 3), 4)</t>
    </r>
  </si>
  <si>
    <r>
      <t xml:space="preserve">Capital turnover, times </t>
    </r>
    <r>
      <rPr>
        <vertAlign val="superscript"/>
        <sz val="10"/>
        <rFont val="Arial"/>
        <family val="2"/>
      </rPr>
      <t>4)</t>
    </r>
  </si>
  <si>
    <r>
      <t xml:space="preserve">Return on net assets </t>
    </r>
    <r>
      <rPr>
        <vertAlign val="superscript"/>
        <sz val="10"/>
        <rFont val="Arial"/>
        <family val="2"/>
      </rPr>
      <t>4)</t>
    </r>
  </si>
  <si>
    <t>4) Calculated based on year to date numbers.</t>
  </si>
  <si>
    <t>1) All periods show Total Group, including Electrolux Professional (discontinued operations).</t>
  </si>
  <si>
    <r>
      <t>Net sales by country</t>
    </r>
    <r>
      <rPr>
        <b/>
        <vertAlign val="superscript"/>
        <sz val="10"/>
        <rFont val="Arial"/>
        <family val="2"/>
      </rPr>
      <t>1)</t>
    </r>
  </si>
  <si>
    <r>
      <t>Employees by country</t>
    </r>
    <r>
      <rPr>
        <b/>
        <vertAlign val="superscript"/>
        <sz val="10"/>
        <rFont val="Arial"/>
        <family val="2"/>
      </rPr>
      <t>1)</t>
    </r>
  </si>
  <si>
    <t>2) All periods show Total Group, including Electrolux Professional (discontinued operations).</t>
  </si>
  <si>
    <r>
      <t xml:space="preserve">Return on equity </t>
    </r>
    <r>
      <rPr>
        <vertAlign val="superscript"/>
        <sz val="10"/>
        <rFont val="Arial"/>
        <family val="2"/>
      </rPr>
      <t>2), 4)</t>
    </r>
  </si>
  <si>
    <r>
      <t>Net debt/equity, ratio</t>
    </r>
    <r>
      <rPr>
        <vertAlign val="superscript"/>
        <sz val="10"/>
        <rFont val="Arial"/>
        <family val="2"/>
      </rPr>
      <t>2)</t>
    </r>
  </si>
  <si>
    <t>1) Sales by country receiving products</t>
  </si>
  <si>
    <r>
      <t>Net debt/equity, ratio</t>
    </r>
    <r>
      <rPr>
        <vertAlign val="superscript"/>
        <sz val="10"/>
        <rFont val="Arial"/>
        <family val="2"/>
      </rPr>
      <t>3)</t>
    </r>
  </si>
  <si>
    <r>
      <t>Net assets as % of net sales</t>
    </r>
    <r>
      <rPr>
        <vertAlign val="superscript"/>
        <sz val="10"/>
        <rFont val="Arial"/>
        <family val="2"/>
      </rPr>
      <t xml:space="preserve"> 4)</t>
    </r>
  </si>
  <si>
    <r>
      <t>Inventories as % of net sales</t>
    </r>
    <r>
      <rPr>
        <vertAlign val="superscript"/>
        <sz val="10"/>
        <rFont val="Arial"/>
        <family val="2"/>
      </rPr>
      <t xml:space="preserve"> 4)</t>
    </r>
  </si>
  <si>
    <r>
      <t>Trade receivables as % of net sales</t>
    </r>
    <r>
      <rPr>
        <vertAlign val="superscript"/>
        <sz val="10"/>
        <rFont val="Arial"/>
        <family val="2"/>
      </rPr>
      <t xml:space="preserve"> 4)</t>
    </r>
  </si>
  <si>
    <r>
      <t>Return on equity</t>
    </r>
    <r>
      <rPr>
        <vertAlign val="superscript"/>
        <sz val="10"/>
        <rFont val="Arial"/>
        <family val="2"/>
      </rPr>
      <t>3)</t>
    </r>
  </si>
  <si>
    <t>4) Net sales are annualized.</t>
  </si>
  <si>
    <r>
      <t>Data per share, SEK</t>
    </r>
    <r>
      <rPr>
        <b/>
        <vertAlign val="superscript"/>
        <sz val="10"/>
        <rFont val="Geneva"/>
        <family val="0"/>
      </rPr>
      <t xml:space="preserve">1) </t>
    </r>
  </si>
  <si>
    <r>
      <t>Net debt</t>
    </r>
    <r>
      <rPr>
        <b/>
        <vertAlign val="superscript"/>
        <sz val="10"/>
        <rFont val="Arial"/>
        <family val="2"/>
      </rPr>
      <t>1)</t>
    </r>
  </si>
  <si>
    <r>
      <t>Rating</t>
    </r>
    <r>
      <rPr>
        <b/>
        <vertAlign val="superscript"/>
        <sz val="10"/>
        <rFont val="Arial"/>
        <family val="2"/>
      </rPr>
      <t>1)</t>
    </r>
  </si>
  <si>
    <t>2019 Q4</t>
  </si>
  <si>
    <t>Croatia</t>
  </si>
  <si>
    <t>2019</t>
  </si>
  <si>
    <t>Leases - Financial liability</t>
  </si>
  <si>
    <t>December 31, 2019</t>
  </si>
  <si>
    <t>2021</t>
  </si>
  <si>
    <t>2022</t>
  </si>
  <si>
    <t>2024</t>
  </si>
  <si>
    <t>2020</t>
  </si>
  <si>
    <t>Puerto Rico</t>
  </si>
  <si>
    <t>n/a</t>
  </si>
  <si>
    <t>1) All periods except 2019 Q4 show Total Group, including Electrolux Professional (discontinued operations).</t>
  </si>
  <si>
    <t>1) All periods except 2019 show Total Group, including Electrolux Professional (discontinued operations).</t>
  </si>
  <si>
    <t>Interest coverage, ratio</t>
  </si>
  <si>
    <t xml:space="preserve">3) All periods except 2019 show Total Group, including Electrolux Professional (discontinued operations) </t>
  </si>
  <si>
    <t>5) All periods show Total Group, including Electrolux Professional (discontinued operations).</t>
  </si>
  <si>
    <r>
      <t>Dividend as % of equity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 </t>
    </r>
  </si>
  <si>
    <t>2025-</t>
  </si>
  <si>
    <t>note</t>
  </si>
  <si>
    <t xml:space="preserve">As of Q4 2019, Electrolux professional is reported as discontinued operations, following the decision by the Board to propose a distribution of the shares. For 2018 and 2019, the financials refer to the consumer business, continuing operations, exclusive of Electrolux Professional, unless otherwise stated. For more information, see https://www.electroluxgroup.com/en/accounting-principles-22991/
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</si>
</sst>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 _k_r_-;\-* #,##0.00_ _k_r_-;_-* &quot;-&quot;??_ _k_r_-;_-@_-"/>
    <numFmt numFmtId="181" formatCode="#,##0.0"/>
    <numFmt numFmtId="182" formatCode="0.0"/>
    <numFmt numFmtId="183" formatCode="0.0%"/>
    <numFmt numFmtId="184" formatCode="#,##0.000"/>
    <numFmt numFmtId="185" formatCode="yyyy\-mm\-dd"/>
    <numFmt numFmtId="186" formatCode="&quot;Senast uppdaterat: &quot;yyyy\-mm\-dd\ "/>
    <numFmt numFmtId="187" formatCode="&quot;Last updated: &quot;yyyy\-mm\-dd"/>
    <numFmt numFmtId="188" formatCode="0.00_)"/>
    <numFmt numFmtId="189" formatCode="yyyy/mm/dd;@"/>
    <numFmt numFmtId="190" formatCode="yyyy\-mm\-dd;@"/>
    <numFmt numFmtId="191" formatCode="0_ ;\-0\ "/>
    <numFmt numFmtId="192" formatCode="###0_j;\-###0_j;0_j;@_j"/>
    <numFmt numFmtId="193" formatCode="#,##0_j;\-#,##0_j;\-_j;@_j"/>
    <numFmt numFmtId="194" formatCode="#,##0.0_j;\-#,##0.0_j;\-_j;@_j"/>
    <numFmt numFmtId="195" formatCode="#,##0.00_j;\-#,##0.00_j;\-_j;@_j"/>
    <numFmt numFmtId="196" formatCode="0.000"/>
    <numFmt numFmtId="197" formatCode="_-&quot;€&quot;* #,##0.00_-;\-&quot;€&quot;* #,##0.00_-;_-&quot;€&quot;* &quot;-&quot;??_-;_-@_-"/>
    <numFmt numFmtId="198" formatCode="_-&quot;€&quot;* #,##0_-;\-&quot;€&quot;* #,##0_-;_-&quot;€&quot;* &quot;-&quot;_-;_-@_-"/>
    <numFmt numFmtId="199" formatCode="_j#,##0;_j\-#,##0;_j0;_j@"/>
    <numFmt numFmtId="200" formatCode="#,##0.0_j;\-#,##0.0_j;0.0_j;@_j"/>
    <numFmt numFmtId="201" formatCode="#,##0_j;\-#,##0_j;0_j;@_j"/>
    <numFmt numFmtId="202" formatCode="0.00000"/>
    <numFmt numFmtId="203" formatCode="0.0000"/>
    <numFmt numFmtId="204" formatCode="[$-41D]&quot;den &quot;d\ mmmm\ yyyy"/>
    <numFmt numFmtId="205" formatCode="#,##0_ ;[Red]\-#,##0\ "/>
    <numFmt numFmtId="206" formatCode="0.000000"/>
    <numFmt numFmtId="207" formatCode="0.0000000"/>
  </numFmts>
  <fonts count="8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b/>
      <sz val="8"/>
      <color indexed="12"/>
      <name val="Verdana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Verdana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Geneva"/>
      <family val="0"/>
    </font>
    <font>
      <b/>
      <sz val="10"/>
      <name val="Geneva"/>
      <family val="0"/>
    </font>
    <font>
      <b/>
      <vertAlign val="superscript"/>
      <sz val="10"/>
      <name val="Geneva"/>
      <family val="0"/>
    </font>
    <font>
      <b/>
      <sz val="10"/>
      <color indexed="12"/>
      <name val="Verdana"/>
      <family val="2"/>
    </font>
    <font>
      <sz val="8"/>
      <color indexed="23"/>
      <name val="Arial"/>
      <family val="2"/>
    </font>
    <font>
      <b/>
      <i/>
      <sz val="16"/>
      <name val="Helv"/>
      <family val="0"/>
    </font>
    <font>
      <b/>
      <sz val="11"/>
      <name val="Times New Roman"/>
      <family val="1"/>
    </font>
    <font>
      <b/>
      <vertAlign val="superscript"/>
      <sz val="10"/>
      <name val="Arial"/>
      <family val="2"/>
    </font>
    <font>
      <b/>
      <i/>
      <sz val="10"/>
      <color indexed="12"/>
      <name val="Verdana"/>
      <family val="2"/>
    </font>
    <font>
      <i/>
      <sz val="8"/>
      <color indexed="12"/>
      <name val="Verdana"/>
      <family val="2"/>
    </font>
    <font>
      <i/>
      <sz val="10"/>
      <name val="Geneva"/>
      <family val="0"/>
    </font>
    <font>
      <i/>
      <sz val="8"/>
      <color indexed="15"/>
      <name val="Arial"/>
      <family val="2"/>
    </font>
    <font>
      <b/>
      <sz val="12"/>
      <name val="Times New Roman"/>
      <family val="1"/>
    </font>
    <font>
      <vertAlign val="superscript"/>
      <sz val="10"/>
      <name val="Geneva"/>
      <family val="0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mbria"/>
      <family val="2"/>
    </font>
    <font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0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Verdana"/>
      <family val="2"/>
    </font>
    <font>
      <b/>
      <sz val="10"/>
      <color indexed="23"/>
      <name val="Arial"/>
      <family val="2"/>
    </font>
    <font>
      <b/>
      <sz val="10"/>
      <color indexed="23"/>
      <name val="Verdana"/>
      <family val="2"/>
    </font>
    <font>
      <b/>
      <i/>
      <sz val="10"/>
      <color indexed="23"/>
      <name val="Verdana"/>
      <family val="2"/>
    </font>
    <font>
      <i/>
      <sz val="10"/>
      <color indexed="23"/>
      <name val="Verdana"/>
      <family val="2"/>
    </font>
    <font>
      <sz val="10"/>
      <color indexed="10"/>
      <name val="Arial"/>
      <family val="2"/>
    </font>
    <font>
      <b/>
      <sz val="10"/>
      <color indexed="9"/>
      <name val="Calibri"/>
      <family val="2"/>
    </font>
    <font>
      <sz val="8"/>
      <color indexed="23"/>
      <name val="Verdana"/>
      <family val="2"/>
    </font>
    <font>
      <sz val="10"/>
      <color indexed="9"/>
      <name val="Calibri"/>
      <family val="2"/>
    </font>
    <font>
      <sz val="14"/>
      <color indexed="8"/>
      <name val="Calibri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8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mbria"/>
      <family val="2"/>
    </font>
    <font>
      <sz val="18"/>
      <color theme="3"/>
      <name val="Cambri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  <font>
      <b/>
      <sz val="8"/>
      <color theme="0" tint="-0.4999699890613556"/>
      <name val="Verdana"/>
      <family val="2"/>
    </font>
    <font>
      <b/>
      <sz val="10"/>
      <color theme="0" tint="-0.4999699890613556"/>
      <name val="Arial"/>
      <family val="2"/>
    </font>
    <font>
      <b/>
      <sz val="10"/>
      <color theme="0" tint="-0.4999699890613556"/>
      <name val="Verdana"/>
      <family val="2"/>
    </font>
    <font>
      <b/>
      <i/>
      <sz val="10"/>
      <color theme="0" tint="-0.4999699890613556"/>
      <name val="Verdana"/>
      <family val="2"/>
    </font>
    <font>
      <i/>
      <sz val="10"/>
      <color theme="0" tint="-0.4999699890613556"/>
      <name val="Verdana"/>
      <family val="2"/>
    </font>
    <font>
      <sz val="10"/>
      <color rgb="FFFF0000"/>
      <name val="Arial"/>
      <family val="2"/>
    </font>
    <font>
      <b/>
      <sz val="10"/>
      <color theme="0"/>
      <name val="Calibri"/>
      <family val="2"/>
    </font>
    <font>
      <sz val="8"/>
      <color theme="0" tint="-0.4999699890613556"/>
      <name val="Verdana"/>
      <family val="2"/>
    </font>
    <font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>
        <color theme="0" tint="-0.24993999302387238"/>
      </top>
      <bottom style="hair">
        <color theme="0" tint="-0.24993999302387238"/>
      </bottom>
    </border>
    <border>
      <left/>
      <right/>
      <top style="hair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/>
      <right/>
      <top style="thin"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ck">
        <color theme="0" tint="-0.24993999302387238"/>
      </left>
      <right/>
      <top style="thick">
        <color theme="0" tint="-0.24993999302387238"/>
      </top>
      <bottom/>
    </border>
    <border>
      <left/>
      <right/>
      <top style="thick">
        <color theme="0" tint="-0.24993999302387238"/>
      </top>
      <bottom/>
    </border>
    <border>
      <left/>
      <right style="thick">
        <color theme="0" tint="-0.24993999302387238"/>
      </right>
      <top style="thick">
        <color theme="0" tint="-0.24993999302387238"/>
      </top>
      <bottom/>
    </border>
    <border>
      <left style="thick">
        <color theme="0" tint="-0.24993999302387238"/>
      </left>
      <right/>
      <top/>
      <bottom/>
    </border>
    <border>
      <left/>
      <right style="thick">
        <color theme="0" tint="-0.24993999302387238"/>
      </right>
      <top/>
      <bottom/>
    </border>
    <border>
      <left style="thick">
        <color theme="0" tint="-0.24993999302387238"/>
      </left>
      <right/>
      <top/>
      <bottom style="thick">
        <color theme="0" tint="-0.24993999302387238"/>
      </bottom>
    </border>
    <border>
      <left/>
      <right/>
      <top/>
      <bottom style="thick">
        <color theme="0" tint="-0.24993999302387238"/>
      </bottom>
    </border>
    <border>
      <left/>
      <right style="thick">
        <color theme="0" tint="-0.24993999302387238"/>
      </right>
      <top/>
      <bottom style="thick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/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/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/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ck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medium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 style="thick">
        <color theme="0" tint="-0.24993999302387238"/>
      </bottom>
    </border>
    <border>
      <left style="thin">
        <color theme="0" tint="-0.24993999302387238"/>
      </left>
      <right style="thick">
        <color theme="0" tint="-0.24993999302387238"/>
      </right>
      <top style="thin">
        <color theme="0" tint="-0.24993999302387238"/>
      </top>
      <bottom style="thick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ck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ck"/>
      <bottom style="thin">
        <color theme="0" tint="-0.24993999302387238"/>
      </bottom>
    </border>
    <border>
      <left style="thin">
        <color theme="0" tint="-0.24993999302387238"/>
      </left>
      <right/>
      <top style="thick"/>
      <bottom style="thin">
        <color theme="0" tint="-0.24993999302387238"/>
      </bottom>
    </border>
    <border>
      <left style="thin">
        <color theme="0" tint="-0.24993999302387238"/>
      </left>
      <right style="thick"/>
      <top style="thick"/>
      <bottom style="thin">
        <color theme="0" tint="-0.24993999302387238"/>
      </bottom>
    </border>
    <border>
      <left style="thin">
        <color theme="0" tint="-0.24993999302387238"/>
      </left>
      <right style="thick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ck"/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ck"/>
      <top style="medium">
        <color theme="0" tint="-0.24993999302387238"/>
      </top>
      <bottom style="thin">
        <color theme="0" tint="-0.24993999302387238"/>
      </bottom>
    </border>
    <border>
      <left style="medium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ck"/>
    </border>
    <border>
      <left style="thin">
        <color theme="0" tint="-0.24993999302387238"/>
      </left>
      <right/>
      <top style="thin">
        <color theme="0" tint="-0.24993999302387238"/>
      </top>
      <bottom style="thick"/>
    </border>
    <border>
      <left style="thin">
        <color theme="0" tint="-0.24993999302387238"/>
      </left>
      <right style="thick"/>
      <top style="thin">
        <color theme="0" tint="-0.24993999302387238"/>
      </top>
      <bottom style="thick"/>
    </border>
    <border>
      <left style="thick">
        <color theme="0" tint="-0.24993999302387238"/>
      </left>
      <right style="medium">
        <color theme="0" tint="-0.24993999302387238"/>
      </right>
      <top style="thick">
        <color theme="0" tint="-0.24993999302387238"/>
      </top>
      <bottom/>
    </border>
    <border>
      <left style="thick">
        <color theme="0" tint="-0.24993999302387238"/>
      </left>
      <right style="medium">
        <color theme="0" tint="-0.24993999302387238"/>
      </right>
      <top/>
      <bottom/>
    </border>
    <border>
      <left style="thick">
        <color theme="0" tint="-0.24993999302387238"/>
      </left>
      <right style="medium">
        <color theme="0" tint="-0.24993999302387238"/>
      </right>
      <top/>
      <bottom style="thick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thick">
        <color theme="0" tint="-0.24993999302387238"/>
      </top>
      <bottom/>
    </border>
    <border>
      <left style="medium">
        <color theme="0" tint="-0.24993999302387238"/>
      </left>
      <right style="medium">
        <color theme="0" tint="-0.24993999302387238"/>
      </right>
      <top/>
      <bottom/>
    </border>
    <border>
      <left style="medium">
        <color theme="0" tint="-0.24993999302387238"/>
      </left>
      <right style="medium">
        <color theme="0" tint="-0.24993999302387238"/>
      </right>
      <top/>
      <bottom style="thick">
        <color theme="0" tint="-0.24993999302387238"/>
      </bottom>
    </border>
    <border>
      <left style="thick"/>
      <right style="medium">
        <color theme="0" tint="-0.24993999302387238"/>
      </right>
      <top style="thick"/>
      <bottom/>
    </border>
    <border>
      <left style="thick"/>
      <right style="medium">
        <color theme="0" tint="-0.24993999302387238"/>
      </right>
      <top/>
      <bottom/>
    </border>
    <border>
      <left style="thick"/>
      <right style="medium">
        <color theme="0" tint="-0.24993999302387238"/>
      </right>
      <top/>
      <bottom style="thick"/>
    </border>
  </borders>
  <cellStyleXfs count="11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0" fillId="20" borderId="1" applyNumberFormat="0" applyFont="0" applyAlignment="0" applyProtection="0"/>
    <xf numFmtId="0" fontId="59" fillId="21" borderId="2" applyNumberFormat="0" applyAlignment="0" applyProtection="0"/>
    <xf numFmtId="0" fontId="60" fillId="22" borderId="0" applyNumberFormat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1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3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65" fillId="31" borderId="2" applyNumberFormat="0" applyAlignment="0" applyProtection="0"/>
    <xf numFmtId="10" fontId="3" fillId="32" borderId="3" applyNumberFormat="0" applyBorder="0" applyAlignment="0" applyProtection="0"/>
    <xf numFmtId="0" fontId="66" fillId="33" borderId="4" applyNumberFormat="0" applyAlignment="0" applyProtection="0"/>
    <xf numFmtId="0" fontId="67" fillId="0" borderId="5" applyNumberFormat="0" applyFill="0" applyAlignment="0" applyProtection="0"/>
    <xf numFmtId="0" fontId="6" fillId="34" borderId="0" applyNumberFormat="0" applyBorder="0" applyAlignment="0" applyProtection="0"/>
    <xf numFmtId="188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25" fillId="0" borderId="0" applyFill="0" applyBorder="0" applyAlignment="0"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25" fillId="0" borderId="0" applyFill="0" applyBorder="0" applyAlignment="0">
      <protection locked="0"/>
    </xf>
    <xf numFmtId="9" fontId="0" fillId="0" borderId="0" applyFont="0" applyFill="0" applyBorder="0" applyAlignment="0" applyProtection="0"/>
    <xf numFmtId="199" fontId="68" fillId="3" borderId="0" applyNumberFormat="0" applyFont="0" applyBorder="0" applyAlignment="0" applyProtection="0"/>
    <xf numFmtId="1" fontId="2" fillId="0" borderId="0" applyFill="0" applyBorder="0" applyProtection="0">
      <alignment horizontal="right" wrapText="1"/>
    </xf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26" fillId="0" borderId="10">
      <alignment horizontal="center"/>
      <protection/>
    </xf>
    <xf numFmtId="200" fontId="68" fillId="0" borderId="0" applyFill="0" applyAlignment="0" applyProtection="0"/>
    <xf numFmtId="0" fontId="0" fillId="0" borderId="11" applyNumberFormat="0" applyFont="0" applyFill="0" applyAlignment="0" applyProtection="0"/>
    <xf numFmtId="201" fontId="73" fillId="0" borderId="12" applyFill="0" applyBorder="0" applyAlignment="0" applyProtection="0"/>
    <xf numFmtId="40" fontId="20" fillId="0" borderId="0">
      <alignment/>
      <protection/>
    </xf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21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3" fontId="0" fillId="0" borderId="0" xfId="0" applyNumberFormat="1" applyFont="1" applyAlignment="1">
      <alignment horizontal="right"/>
    </xf>
    <xf numFmtId="181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81" fontId="0" fillId="0" borderId="0" xfId="0" applyNumberFormat="1" applyFont="1" applyAlignment="1">
      <alignment horizontal="right"/>
    </xf>
    <xf numFmtId="181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49" fontId="15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0" fontId="11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0" fillId="0" borderId="0" xfId="0" applyFont="1" applyAlignment="1">
      <alignment/>
    </xf>
    <xf numFmtId="0" fontId="17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86" fontId="18" fillId="0" borderId="0" xfId="0" applyNumberFormat="1" applyFont="1" applyAlignment="1">
      <alignment horizontal="left"/>
    </xf>
    <xf numFmtId="187" fontId="18" fillId="0" borderId="0" xfId="0" applyNumberFormat="1" applyFont="1" applyAlignment="1">
      <alignment horizontal="left" wrapText="1"/>
    </xf>
    <xf numFmtId="0" fontId="9" fillId="0" borderId="0" xfId="0" applyFont="1" applyAlignment="1">
      <alignment horizontal="left"/>
    </xf>
    <xf numFmtId="0" fontId="7" fillId="0" borderId="10" xfId="0" applyFont="1" applyBorder="1" applyAlignment="1">
      <alignment/>
    </xf>
    <xf numFmtId="0" fontId="2" fillId="0" borderId="0" xfId="0" applyFont="1" applyAlignment="1">
      <alignment horizontal="left" wrapText="1" indent="2"/>
    </xf>
    <xf numFmtId="0" fontId="2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8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15" fillId="0" borderId="10" xfId="0" applyNumberFormat="1" applyFont="1" applyBorder="1" applyAlignment="1">
      <alignment/>
    </xf>
    <xf numFmtId="0" fontId="2" fillId="0" borderId="14" xfId="0" applyFont="1" applyBorder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 indent="2"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3" fontId="0" fillId="0" borderId="0" xfId="66" applyNumberFormat="1" applyAlignment="1">
      <alignment horizontal="right"/>
      <protection/>
    </xf>
    <xf numFmtId="181" fontId="0" fillId="0" borderId="0" xfId="66" applyNumberFormat="1" applyAlignment="1">
      <alignment horizontal="right"/>
      <protection/>
    </xf>
    <xf numFmtId="187" fontId="0" fillId="0" borderId="0" xfId="0" applyNumberFormat="1" applyFont="1" applyAlignment="1">
      <alignment horizontal="left" wrapText="1" indent="2"/>
    </xf>
    <xf numFmtId="0" fontId="0" fillId="0" borderId="0" xfId="0" applyAlignment="1">
      <alignment wrapText="1"/>
    </xf>
    <xf numFmtId="3" fontId="2" fillId="0" borderId="3" xfId="66" applyNumberFormat="1" applyFont="1" applyBorder="1" applyAlignment="1">
      <alignment horizontal="right" wrapText="1"/>
      <protection/>
    </xf>
    <xf numFmtId="3" fontId="0" fillId="0" borderId="3" xfId="66" applyNumberFormat="1" applyBorder="1" applyAlignment="1" applyProtection="1">
      <alignment horizontal="right" wrapText="1"/>
      <protection locked="0"/>
    </xf>
    <xf numFmtId="3" fontId="0" fillId="0" borderId="0" xfId="0" applyNumberFormat="1" applyFont="1" applyAlignment="1" quotePrefix="1">
      <alignment/>
    </xf>
    <xf numFmtId="49" fontId="2" fillId="0" borderId="10" xfId="0" applyNumberFormat="1" applyFont="1" applyBorder="1" applyAlignment="1">
      <alignment horizontal="right" wrapText="1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10" xfId="0" applyFont="1" applyBorder="1" applyAlignment="1">
      <alignment/>
    </xf>
    <xf numFmtId="189" fontId="78" fillId="0" borderId="0" xfId="0" applyNumberFormat="1" applyFont="1" applyAlignment="1">
      <alignment/>
    </xf>
    <xf numFmtId="185" fontId="78" fillId="0" borderId="0" xfId="0" applyNumberFormat="1" applyFont="1" applyAlignment="1">
      <alignment/>
    </xf>
    <xf numFmtId="0" fontId="79" fillId="0" borderId="0" xfId="0" applyFont="1" applyAlignment="1">
      <alignment wrapText="1"/>
    </xf>
    <xf numFmtId="0" fontId="78" fillId="0" borderId="0" xfId="0" applyFont="1" applyAlignment="1">
      <alignment/>
    </xf>
    <xf numFmtId="0" fontId="80" fillId="0" borderId="10" xfId="0" applyFont="1" applyBorder="1" applyAlignment="1">
      <alignment/>
    </xf>
    <xf numFmtId="185" fontId="78" fillId="0" borderId="0" xfId="0" applyNumberFormat="1" applyFont="1" applyAlignment="1">
      <alignment/>
    </xf>
    <xf numFmtId="0" fontId="77" fillId="0" borderId="0" xfId="0" applyFont="1" applyAlignment="1">
      <alignment/>
    </xf>
    <xf numFmtId="0" fontId="12" fillId="0" borderId="0" xfId="0" applyFont="1" applyAlignment="1">
      <alignment/>
    </xf>
    <xf numFmtId="0" fontId="81" fillId="0" borderId="0" xfId="0" applyFont="1" applyAlignment="1">
      <alignment wrapText="1"/>
    </xf>
    <xf numFmtId="0" fontId="82" fillId="0" borderId="0" xfId="0" applyFont="1" applyAlignment="1">
      <alignment wrapText="1"/>
    </xf>
    <xf numFmtId="0" fontId="80" fillId="0" borderId="0" xfId="0" applyFont="1" applyAlignment="1">
      <alignment/>
    </xf>
    <xf numFmtId="0" fontId="83" fillId="0" borderId="0" xfId="0" applyFont="1" applyAlignment="1">
      <alignment wrapText="1"/>
    </xf>
    <xf numFmtId="3" fontId="2" fillId="0" borderId="1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185" fontId="78" fillId="0" borderId="1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horizontal="left" wrapText="1" indent="2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49" fontId="24" fillId="0" borderId="0" xfId="0" applyNumberFormat="1" applyFont="1" applyAlignment="1">
      <alignment/>
    </xf>
    <xf numFmtId="0" fontId="9" fillId="0" borderId="0" xfId="0" applyFont="1" applyAlignment="1">
      <alignment/>
    </xf>
    <xf numFmtId="3" fontId="0" fillId="0" borderId="15" xfId="0" applyNumberFormat="1" applyFont="1" applyBorder="1" applyAlignment="1">
      <alignment/>
    </xf>
    <xf numFmtId="0" fontId="78" fillId="26" borderId="0" xfId="0" applyFont="1" applyFill="1" applyAlignment="1">
      <alignment/>
    </xf>
    <xf numFmtId="0" fontId="78" fillId="35" borderId="0" xfId="0" applyFont="1" applyFill="1" applyAlignment="1">
      <alignment/>
    </xf>
    <xf numFmtId="49" fontId="14" fillId="0" borderId="0" xfId="0" applyNumberFormat="1" applyFont="1" applyAlignment="1">
      <alignment/>
    </xf>
    <xf numFmtId="0" fontId="7" fillId="0" borderId="0" xfId="55" applyFont="1" applyAlignment="1">
      <alignment wrapText="1"/>
      <protection/>
    </xf>
    <xf numFmtId="0" fontId="7" fillId="0" borderId="0" xfId="55" applyFont="1">
      <alignment/>
      <protection/>
    </xf>
    <xf numFmtId="0" fontId="8" fillId="0" borderId="0" xfId="55" applyFont="1" applyAlignment="1">
      <alignment horizontal="left"/>
      <protection/>
    </xf>
    <xf numFmtId="0" fontId="8" fillId="0" borderId="0" xfId="55" applyFont="1">
      <alignment/>
      <protection/>
    </xf>
    <xf numFmtId="0" fontId="0" fillId="0" borderId="0" xfId="55">
      <alignment/>
      <protection/>
    </xf>
    <xf numFmtId="185" fontId="78" fillId="0" borderId="0" xfId="55" applyNumberFormat="1" applyFont="1">
      <alignment/>
      <protection/>
    </xf>
    <xf numFmtId="186" fontId="18" fillId="0" borderId="0" xfId="55" applyNumberFormat="1" applyFont="1" applyAlignment="1">
      <alignment horizontal="left"/>
      <protection/>
    </xf>
    <xf numFmtId="187" fontId="18" fillId="0" borderId="0" xfId="55" applyNumberFormat="1" applyFont="1" applyAlignment="1">
      <alignment wrapText="1"/>
      <protection/>
    </xf>
    <xf numFmtId="0" fontId="9" fillId="0" borderId="0" xfId="55" applyFont="1" applyAlignment="1">
      <alignment horizontal="left"/>
      <protection/>
    </xf>
    <xf numFmtId="0" fontId="9" fillId="0" borderId="0" xfId="55" applyFont="1">
      <alignment/>
      <protection/>
    </xf>
    <xf numFmtId="185" fontId="78" fillId="0" borderId="0" xfId="55" applyNumberFormat="1" applyFont="1">
      <alignment/>
      <protection/>
    </xf>
    <xf numFmtId="0" fontId="11" fillId="0" borderId="0" xfId="55" applyFont="1" applyAlignment="1">
      <alignment wrapText="1"/>
      <protection/>
    </xf>
    <xf numFmtId="0" fontId="2" fillId="0" borderId="0" xfId="55" applyFont="1" applyAlignment="1">
      <alignment wrapText="1"/>
      <protection/>
    </xf>
    <xf numFmtId="0" fontId="0" fillId="0" borderId="0" xfId="55" applyAlignment="1">
      <alignment wrapText="1"/>
      <protection/>
    </xf>
    <xf numFmtId="185" fontId="78" fillId="0" borderId="10" xfId="55" applyNumberFormat="1" applyFont="1" applyBorder="1">
      <alignment/>
      <protection/>
    </xf>
    <xf numFmtId="0" fontId="7" fillId="0" borderId="10" xfId="55" applyFont="1" applyBorder="1" applyAlignment="1">
      <alignment wrapText="1"/>
      <protection/>
    </xf>
    <xf numFmtId="0" fontId="7" fillId="0" borderId="10" xfId="55" applyFont="1" applyBorder="1">
      <alignment/>
      <protection/>
    </xf>
    <xf numFmtId="0" fontId="2" fillId="0" borderId="10" xfId="55" applyFont="1" applyBorder="1" applyAlignment="1">
      <alignment wrapText="1"/>
      <protection/>
    </xf>
    <xf numFmtId="49" fontId="2" fillId="0" borderId="10" xfId="55" applyNumberFormat="1" applyFont="1" applyBorder="1" applyAlignment="1">
      <alignment horizontal="right" wrapText="1"/>
      <protection/>
    </xf>
    <xf numFmtId="0" fontId="0" fillId="0" borderId="10" xfId="55" applyBorder="1">
      <alignment/>
      <protection/>
    </xf>
    <xf numFmtId="0" fontId="78" fillId="0" borderId="0" xfId="55" applyFont="1">
      <alignment/>
      <protection/>
    </xf>
    <xf numFmtId="0" fontId="81" fillId="0" borderId="0" xfId="55" applyFont="1" applyAlignment="1">
      <alignment wrapText="1"/>
      <protection/>
    </xf>
    <xf numFmtId="3" fontId="0" fillId="0" borderId="0" xfId="55" applyNumberFormat="1">
      <alignment/>
      <protection/>
    </xf>
    <xf numFmtId="0" fontId="80" fillId="0" borderId="0" xfId="55" applyFont="1">
      <alignment/>
      <protection/>
    </xf>
    <xf numFmtId="3" fontId="2" fillId="0" borderId="0" xfId="55" applyNumberFormat="1" applyFont="1">
      <alignment/>
      <protection/>
    </xf>
    <xf numFmtId="0" fontId="2" fillId="0" borderId="0" xfId="55" applyFont="1">
      <alignment/>
      <protection/>
    </xf>
    <xf numFmtId="4" fontId="0" fillId="0" borderId="0" xfId="55" applyNumberFormat="1">
      <alignment/>
      <protection/>
    </xf>
    <xf numFmtId="2" fontId="0" fillId="0" borderId="0" xfId="0" applyNumberFormat="1" applyFont="1" applyAlignment="1">
      <alignment/>
    </xf>
    <xf numFmtId="182" fontId="0" fillId="0" borderId="0" xfId="0" applyNumberFormat="1" applyFont="1" applyAlignment="1">
      <alignment/>
    </xf>
    <xf numFmtId="182" fontId="0" fillId="0" borderId="0" xfId="98" applyNumberFormat="1" applyFont="1" applyAlignment="1">
      <alignment/>
    </xf>
    <xf numFmtId="182" fontId="0" fillId="0" borderId="0" xfId="0" applyNumberFormat="1" applyFont="1" applyAlignment="1" quotePrefix="1">
      <alignment horizontal="right"/>
    </xf>
    <xf numFmtId="181" fontId="0" fillId="0" borderId="0" xfId="0" applyNumberFormat="1" applyFont="1" applyAlignment="1" quotePrefix="1">
      <alignment horizontal="right"/>
    </xf>
    <xf numFmtId="3" fontId="0" fillId="0" borderId="3" xfId="66" applyNumberFormat="1" applyBorder="1" applyAlignment="1" applyProtection="1" quotePrefix="1">
      <alignment horizontal="right" wrapText="1"/>
      <protection locked="0"/>
    </xf>
    <xf numFmtId="3" fontId="84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81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/>
    </xf>
    <xf numFmtId="0" fontId="68" fillId="0" borderId="0" xfId="75">
      <alignment/>
      <protection/>
    </xf>
    <xf numFmtId="0" fontId="68" fillId="36" borderId="16" xfId="75" applyFill="1" applyBorder="1" applyAlignment="1">
      <alignment horizontal="right"/>
      <protection/>
    </xf>
    <xf numFmtId="0" fontId="68" fillId="36" borderId="16" xfId="75" applyFill="1" applyBorder="1" applyAlignment="1">
      <alignment horizontal="left"/>
      <protection/>
    </xf>
    <xf numFmtId="0" fontId="68" fillId="0" borderId="0" xfId="75" applyAlignment="1">
      <alignment horizontal="center" vertical="center"/>
      <protection/>
    </xf>
    <xf numFmtId="0" fontId="68" fillId="0" borderId="0" xfId="75" applyAlignment="1">
      <alignment horizontal="left"/>
      <protection/>
    </xf>
    <xf numFmtId="0" fontId="68" fillId="20" borderId="17" xfId="75" applyFill="1" applyBorder="1">
      <alignment/>
      <protection/>
    </xf>
    <xf numFmtId="0" fontId="85" fillId="37" borderId="18" xfId="75" applyFont="1" applyFill="1" applyBorder="1" applyAlignment="1">
      <alignment horizontal="centerContinuous"/>
      <protection/>
    </xf>
    <xf numFmtId="0" fontId="85" fillId="37" borderId="18" xfId="75" applyFont="1" applyFill="1" applyBorder="1">
      <alignment/>
      <protection/>
    </xf>
    <xf numFmtId="0" fontId="68" fillId="38" borderId="19" xfId="75" applyFill="1" applyBorder="1">
      <alignment/>
      <protection/>
    </xf>
    <xf numFmtId="0" fontId="85" fillId="37" borderId="16" xfId="75" applyFont="1" applyFill="1" applyBorder="1" applyAlignment="1">
      <alignment horizontal="center"/>
      <protection/>
    </xf>
    <xf numFmtId="0" fontId="68" fillId="20" borderId="20" xfId="75" applyFill="1" applyBorder="1" applyAlignment="1">
      <alignment vertical="center" textRotation="90"/>
      <protection/>
    </xf>
    <xf numFmtId="0" fontId="68" fillId="20" borderId="0" xfId="75" applyFill="1">
      <alignment/>
      <protection/>
    </xf>
    <xf numFmtId="0" fontId="68" fillId="5" borderId="0" xfId="75" applyFill="1" applyAlignment="1">
      <alignment horizontal="center" vertical="center"/>
      <protection/>
    </xf>
    <xf numFmtId="0" fontId="68" fillId="0" borderId="21" xfId="75" applyBorder="1">
      <alignment/>
      <protection/>
    </xf>
    <xf numFmtId="0" fontId="68" fillId="20" borderId="16" xfId="75" applyFill="1" applyBorder="1">
      <alignment/>
      <protection/>
    </xf>
    <xf numFmtId="191" fontId="68" fillId="39" borderId="16" xfId="75" applyNumberFormat="1" applyFill="1" applyBorder="1">
      <alignment/>
      <protection/>
    </xf>
    <xf numFmtId="0" fontId="68" fillId="39" borderId="16" xfId="75" applyFill="1" applyBorder="1" applyAlignment="1">
      <alignment horizontal="right"/>
      <protection/>
    </xf>
    <xf numFmtId="0" fontId="68" fillId="20" borderId="22" xfId="75" applyFill="1" applyBorder="1" applyAlignment="1">
      <alignment vertical="center" textRotation="90"/>
      <protection/>
    </xf>
    <xf numFmtId="0" fontId="68" fillId="20" borderId="23" xfId="75" applyFill="1" applyBorder="1">
      <alignment/>
      <protection/>
    </xf>
    <xf numFmtId="0" fontId="68" fillId="5" borderId="23" xfId="75" applyFill="1" applyBorder="1" applyAlignment="1">
      <alignment horizontal="center" vertical="center"/>
      <protection/>
    </xf>
    <xf numFmtId="0" fontId="68" fillId="0" borderId="23" xfId="75" applyBorder="1" applyAlignment="1">
      <alignment horizontal="left"/>
      <protection/>
    </xf>
    <xf numFmtId="0" fontId="68" fillId="0" borderId="23" xfId="75" applyBorder="1">
      <alignment/>
      <protection/>
    </xf>
    <xf numFmtId="0" fontId="68" fillId="0" borderId="24" xfId="75" applyBorder="1">
      <alignment/>
      <protection/>
    </xf>
    <xf numFmtId="0" fontId="68" fillId="20" borderId="25" xfId="75" applyFill="1" applyBorder="1">
      <alignment/>
      <protection/>
    </xf>
    <xf numFmtId="0" fontId="68" fillId="5" borderId="26" xfId="75" applyFill="1" applyBorder="1" applyAlignment="1">
      <alignment horizontal="left" vertical="center"/>
      <protection/>
    </xf>
    <xf numFmtId="0" fontId="68" fillId="0" borderId="26" xfId="75" applyBorder="1" applyAlignment="1">
      <alignment horizontal="left"/>
      <protection/>
    </xf>
    <xf numFmtId="0" fontId="68" fillId="0" borderId="27" xfId="75" applyBorder="1" applyAlignment="1">
      <alignment horizontal="left"/>
      <protection/>
    </xf>
    <xf numFmtId="0" fontId="68" fillId="0" borderId="28" xfId="75" applyBorder="1">
      <alignment/>
      <protection/>
    </xf>
    <xf numFmtId="0" fontId="68" fillId="20" borderId="29" xfId="75" applyFill="1" applyBorder="1">
      <alignment/>
      <protection/>
    </xf>
    <xf numFmtId="0" fontId="68" fillId="5" borderId="30" xfId="75" applyFill="1" applyBorder="1" applyAlignment="1">
      <alignment horizontal="left" vertical="center"/>
      <protection/>
    </xf>
    <xf numFmtId="0" fontId="68" fillId="39" borderId="30" xfId="75" applyFill="1" applyBorder="1" applyAlignment="1">
      <alignment horizontal="left"/>
      <protection/>
    </xf>
    <xf numFmtId="0" fontId="68" fillId="0" borderId="30" xfId="75" applyBorder="1" applyAlignment="1">
      <alignment horizontal="left"/>
      <protection/>
    </xf>
    <xf numFmtId="0" fontId="68" fillId="0" borderId="31" xfId="75" applyBorder="1" applyAlignment="1">
      <alignment horizontal="left"/>
      <protection/>
    </xf>
    <xf numFmtId="0" fontId="68" fillId="0" borderId="32" xfId="75" applyBorder="1">
      <alignment/>
      <protection/>
    </xf>
    <xf numFmtId="0" fontId="68" fillId="20" borderId="33" xfId="75" applyFill="1" applyBorder="1">
      <alignment/>
      <protection/>
    </xf>
    <xf numFmtId="0" fontId="68" fillId="5" borderId="34" xfId="75" applyFill="1" applyBorder="1" applyAlignment="1">
      <alignment horizontal="left" vertical="center"/>
      <protection/>
    </xf>
    <xf numFmtId="0" fontId="68" fillId="39" borderId="34" xfId="75" applyFill="1" applyBorder="1" applyAlignment="1">
      <alignment horizontal="left"/>
      <protection/>
    </xf>
    <xf numFmtId="0" fontId="68" fillId="0" borderId="34" xfId="75" applyBorder="1" applyAlignment="1">
      <alignment horizontal="left"/>
      <protection/>
    </xf>
    <xf numFmtId="0" fontId="68" fillId="0" borderId="35" xfId="75" applyBorder="1" applyAlignment="1">
      <alignment horizontal="left"/>
      <protection/>
    </xf>
    <xf numFmtId="0" fontId="68" fillId="0" borderId="36" xfId="75" applyBorder="1">
      <alignment/>
      <protection/>
    </xf>
    <xf numFmtId="0" fontId="68" fillId="20" borderId="37" xfId="75" applyFill="1" applyBorder="1">
      <alignment/>
      <protection/>
    </xf>
    <xf numFmtId="0" fontId="68" fillId="5" borderId="38" xfId="75" applyFill="1" applyBorder="1" applyAlignment="1">
      <alignment horizontal="left" vertical="center"/>
      <protection/>
    </xf>
    <xf numFmtId="0" fontId="68" fillId="0" borderId="38" xfId="75" applyBorder="1" applyAlignment="1" quotePrefix="1">
      <alignment horizontal="left"/>
      <protection/>
    </xf>
    <xf numFmtId="0" fontId="68" fillId="0" borderId="38" xfId="75" applyBorder="1" applyAlignment="1">
      <alignment horizontal="left"/>
      <protection/>
    </xf>
    <xf numFmtId="0" fontId="68" fillId="0" borderId="39" xfId="75" applyBorder="1" applyAlignment="1">
      <alignment horizontal="left"/>
      <protection/>
    </xf>
    <xf numFmtId="0" fontId="68" fillId="0" borderId="40" xfId="75" applyBorder="1">
      <alignment/>
      <protection/>
    </xf>
    <xf numFmtId="14" fontId="68" fillId="5" borderId="30" xfId="75" applyNumberFormat="1" applyFill="1" applyBorder="1" applyAlignment="1">
      <alignment horizontal="left" vertical="center"/>
      <protection/>
    </xf>
    <xf numFmtId="14" fontId="68" fillId="39" borderId="30" xfId="75" applyNumberFormat="1" applyFill="1" applyBorder="1" applyAlignment="1">
      <alignment horizontal="left"/>
      <protection/>
    </xf>
    <xf numFmtId="0" fontId="68" fillId="20" borderId="41" xfId="75" applyFill="1" applyBorder="1">
      <alignment/>
      <protection/>
    </xf>
    <xf numFmtId="0" fontId="68" fillId="39" borderId="41" xfId="75" applyFill="1" applyBorder="1">
      <alignment/>
      <protection/>
    </xf>
    <xf numFmtId="0" fontId="68" fillId="39" borderId="38" xfId="75" applyFill="1" applyBorder="1" applyAlignment="1">
      <alignment horizontal="left"/>
      <protection/>
    </xf>
    <xf numFmtId="0" fontId="68" fillId="38" borderId="41" xfId="75" applyFill="1" applyBorder="1" applyAlignment="1">
      <alignment horizontal="right"/>
      <protection/>
    </xf>
    <xf numFmtId="0" fontId="68" fillId="40" borderId="41" xfId="75" applyFill="1" applyBorder="1" applyAlignment="1">
      <alignment horizontal="right"/>
      <protection/>
    </xf>
    <xf numFmtId="0" fontId="68" fillId="39" borderId="41" xfId="75" applyFill="1" applyBorder="1" applyAlignment="1">
      <alignment horizontal="right"/>
      <protection/>
    </xf>
    <xf numFmtId="0" fontId="68" fillId="20" borderId="42" xfId="75" applyFill="1" applyBorder="1">
      <alignment/>
      <protection/>
    </xf>
    <xf numFmtId="0" fontId="68" fillId="5" borderId="43" xfId="75" applyFill="1" applyBorder="1" applyAlignment="1">
      <alignment horizontal="left" vertical="center"/>
      <protection/>
    </xf>
    <xf numFmtId="0" fontId="68" fillId="39" borderId="43" xfId="75" applyFill="1" applyBorder="1" applyAlignment="1">
      <alignment horizontal="left"/>
      <protection/>
    </xf>
    <xf numFmtId="0" fontId="68" fillId="39" borderId="44" xfId="75" applyFill="1" applyBorder="1" applyAlignment="1">
      <alignment horizontal="left"/>
      <protection/>
    </xf>
    <xf numFmtId="0" fontId="68" fillId="0" borderId="45" xfId="75" applyBorder="1">
      <alignment/>
      <protection/>
    </xf>
    <xf numFmtId="49" fontId="68" fillId="38" borderId="41" xfId="75" applyNumberFormat="1" applyFill="1" applyBorder="1" applyAlignment="1">
      <alignment horizontal="right"/>
      <protection/>
    </xf>
    <xf numFmtId="49" fontId="68" fillId="40" borderId="41" xfId="75" applyNumberFormat="1" applyFill="1" applyBorder="1" applyAlignment="1">
      <alignment horizontal="right"/>
      <protection/>
    </xf>
    <xf numFmtId="0" fontId="68" fillId="39" borderId="31" xfId="75" applyFill="1" applyBorder="1" applyAlignment="1">
      <alignment horizontal="left"/>
      <protection/>
    </xf>
    <xf numFmtId="0" fontId="68" fillId="0" borderId="46" xfId="75" applyBorder="1">
      <alignment/>
      <protection/>
    </xf>
    <xf numFmtId="14" fontId="68" fillId="38" borderId="41" xfId="75" applyNumberFormat="1" applyFill="1" applyBorder="1" applyAlignment="1">
      <alignment horizontal="right"/>
      <protection/>
    </xf>
    <xf numFmtId="14" fontId="68" fillId="40" borderId="41" xfId="75" applyNumberFormat="1" applyFill="1" applyBorder="1" applyAlignment="1">
      <alignment horizontal="right"/>
      <protection/>
    </xf>
    <xf numFmtId="14" fontId="68" fillId="39" borderId="41" xfId="75" applyNumberFormat="1" applyFill="1" applyBorder="1" applyAlignment="1">
      <alignment horizontal="right"/>
      <protection/>
    </xf>
    <xf numFmtId="0" fontId="68" fillId="39" borderId="35" xfId="75" applyFill="1" applyBorder="1" applyAlignment="1">
      <alignment horizontal="left"/>
      <protection/>
    </xf>
    <xf numFmtId="0" fontId="68" fillId="0" borderId="47" xfId="75" applyBorder="1">
      <alignment/>
      <protection/>
    </xf>
    <xf numFmtId="0" fontId="68" fillId="39" borderId="38" xfId="75" applyFill="1" applyBorder="1" applyAlignment="1" quotePrefix="1">
      <alignment horizontal="left"/>
      <protection/>
    </xf>
    <xf numFmtId="0" fontId="68" fillId="39" borderId="39" xfId="75" applyFill="1" applyBorder="1" applyAlignment="1">
      <alignment horizontal="left"/>
      <protection/>
    </xf>
    <xf numFmtId="0" fontId="68" fillId="0" borderId="48" xfId="75" applyBorder="1">
      <alignment/>
      <protection/>
    </xf>
    <xf numFmtId="0" fontId="68" fillId="0" borderId="0" xfId="75" applyAlignment="1">
      <alignment horizontal="right"/>
      <protection/>
    </xf>
    <xf numFmtId="0" fontId="68" fillId="20" borderId="49" xfId="75" applyFill="1" applyBorder="1">
      <alignment/>
      <protection/>
    </xf>
    <xf numFmtId="0" fontId="68" fillId="5" borderId="50" xfId="75" applyFill="1" applyBorder="1" applyAlignment="1">
      <alignment horizontal="left" vertical="center"/>
      <protection/>
    </xf>
    <xf numFmtId="0" fontId="68" fillId="39" borderId="50" xfId="75" applyFill="1" applyBorder="1" applyAlignment="1">
      <alignment horizontal="left"/>
      <protection/>
    </xf>
    <xf numFmtId="0" fontId="68" fillId="39" borderId="51" xfId="75" applyFill="1" applyBorder="1" applyAlignment="1">
      <alignment horizontal="left"/>
      <protection/>
    </xf>
    <xf numFmtId="0" fontId="68" fillId="0" borderId="52" xfId="75" applyBorder="1">
      <alignment/>
      <protection/>
    </xf>
    <xf numFmtId="0" fontId="68" fillId="5" borderId="0" xfId="75" applyFill="1">
      <alignment/>
      <protection/>
    </xf>
    <xf numFmtId="0" fontId="68" fillId="20" borderId="53" xfId="75" applyFill="1" applyBorder="1">
      <alignment/>
      <protection/>
    </xf>
    <xf numFmtId="0" fontId="68" fillId="5" borderId="54" xfId="75" applyFill="1" applyBorder="1" applyAlignment="1">
      <alignment horizontal="left" vertical="center"/>
      <protection/>
    </xf>
    <xf numFmtId="0" fontId="68" fillId="0" borderId="54" xfId="75" applyBorder="1" applyAlignment="1">
      <alignment horizontal="left"/>
      <protection/>
    </xf>
    <xf numFmtId="0" fontId="68" fillId="39" borderId="54" xfId="75" applyFill="1" applyBorder="1" applyAlignment="1">
      <alignment horizontal="left"/>
      <protection/>
    </xf>
    <xf numFmtId="0" fontId="68" fillId="39" borderId="55" xfId="75" applyFill="1" applyBorder="1" applyAlignment="1">
      <alignment horizontal="left"/>
      <protection/>
    </xf>
    <xf numFmtId="0" fontId="68" fillId="0" borderId="56" xfId="75" applyBorder="1">
      <alignment/>
      <protection/>
    </xf>
    <xf numFmtId="0" fontId="68" fillId="0" borderId="57" xfId="75" applyBorder="1">
      <alignment/>
      <protection/>
    </xf>
    <xf numFmtId="0" fontId="68" fillId="0" borderId="58" xfId="75" applyBorder="1">
      <alignment/>
      <protection/>
    </xf>
    <xf numFmtId="0" fontId="68" fillId="0" borderId="59" xfId="75" applyBorder="1">
      <alignment/>
      <protection/>
    </xf>
    <xf numFmtId="0" fontId="68" fillId="20" borderId="60" xfId="75" applyFill="1" applyBorder="1">
      <alignment/>
      <protection/>
    </xf>
    <xf numFmtId="0" fontId="68" fillId="5" borderId="61" xfId="75" applyFill="1" applyBorder="1" applyAlignment="1">
      <alignment horizontal="left" vertical="center"/>
      <protection/>
    </xf>
    <xf numFmtId="0" fontId="68" fillId="0" borderId="61" xfId="75" applyBorder="1" applyAlignment="1">
      <alignment horizontal="left"/>
      <protection/>
    </xf>
    <xf numFmtId="0" fontId="68" fillId="39" borderId="61" xfId="75" applyFill="1" applyBorder="1" applyAlignment="1">
      <alignment horizontal="left"/>
      <protection/>
    </xf>
    <xf numFmtId="0" fontId="68" fillId="39" borderId="62" xfId="75" applyFill="1" applyBorder="1" applyAlignment="1">
      <alignment horizontal="left"/>
      <protection/>
    </xf>
    <xf numFmtId="0" fontId="68" fillId="0" borderId="63" xfId="75" applyBorder="1">
      <alignment/>
      <protection/>
    </xf>
    <xf numFmtId="16" fontId="68" fillId="0" borderId="38" xfId="75" applyNumberFormat="1" applyBorder="1" applyAlignment="1" quotePrefix="1">
      <alignment horizontal="left"/>
      <protection/>
    </xf>
    <xf numFmtId="0" fontId="68" fillId="41" borderId="38" xfId="75" applyFill="1" applyBorder="1" applyAlignment="1">
      <alignment horizontal="left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 wrapText="1"/>
    </xf>
    <xf numFmtId="0" fontId="78" fillId="36" borderId="0" xfId="0" applyFont="1" applyFill="1" applyAlignment="1">
      <alignment/>
    </xf>
    <xf numFmtId="0" fontId="78" fillId="0" borderId="0" xfId="0" applyFont="1" applyBorder="1" applyAlignment="1">
      <alignment/>
    </xf>
    <xf numFmtId="0" fontId="78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86" fillId="35" borderId="0" xfId="0" applyFont="1" applyFill="1" applyAlignment="1">
      <alignment wrapText="1"/>
    </xf>
    <xf numFmtId="0" fontId="86" fillId="36" borderId="0" xfId="0" applyFont="1" applyFill="1" applyAlignment="1">
      <alignment wrapText="1"/>
    </xf>
    <xf numFmtId="0" fontId="80" fillId="36" borderId="0" xfId="55" applyFont="1" applyFill="1">
      <alignment/>
      <protection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Alignment="1">
      <alignment/>
    </xf>
    <xf numFmtId="3" fontId="41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0" fillId="0" borderId="0" xfId="0" applyFont="1" applyFill="1" applyAlignment="1" applyProtection="1">
      <alignment horizontal="right"/>
      <protection locked="0"/>
    </xf>
    <xf numFmtId="0" fontId="2" fillId="0" borderId="10" xfId="0" applyFont="1" applyFill="1" applyBorder="1" applyAlignment="1" quotePrefix="1">
      <alignment wrapText="1"/>
    </xf>
    <xf numFmtId="0" fontId="78" fillId="0" borderId="0" xfId="0" applyFont="1" applyFill="1" applyAlignment="1">
      <alignment/>
    </xf>
    <xf numFmtId="0" fontId="86" fillId="0" borderId="0" xfId="0" applyFont="1" applyFill="1" applyAlignment="1">
      <alignment wrapText="1"/>
    </xf>
    <xf numFmtId="0" fontId="80" fillId="0" borderId="0" xfId="0" applyFont="1" applyFill="1" applyAlignment="1">
      <alignment/>
    </xf>
    <xf numFmtId="0" fontId="78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80" fillId="0" borderId="10" xfId="0" applyFont="1" applyFill="1" applyBorder="1" applyAlignment="1">
      <alignment/>
    </xf>
    <xf numFmtId="0" fontId="81" fillId="0" borderId="0" xfId="0" applyFont="1" applyFill="1" applyAlignment="1">
      <alignment wrapText="1"/>
    </xf>
    <xf numFmtId="0" fontId="68" fillId="20" borderId="64" xfId="75" applyFill="1" applyBorder="1" applyAlignment="1">
      <alignment horizontal="center" vertical="center" textRotation="90"/>
      <protection/>
    </xf>
    <xf numFmtId="0" fontId="68" fillId="20" borderId="65" xfId="75" applyFill="1" applyBorder="1" applyAlignment="1">
      <alignment horizontal="center" vertical="center" textRotation="90"/>
      <protection/>
    </xf>
    <xf numFmtId="0" fontId="68" fillId="20" borderId="66" xfId="75" applyFill="1" applyBorder="1" applyAlignment="1">
      <alignment horizontal="center" vertical="center" textRotation="90"/>
      <protection/>
    </xf>
    <xf numFmtId="0" fontId="87" fillId="17" borderId="17" xfId="75" applyFont="1" applyFill="1" applyBorder="1" applyAlignment="1">
      <alignment horizontal="center" vertical="center" wrapText="1"/>
      <protection/>
    </xf>
    <xf numFmtId="0" fontId="87" fillId="17" borderId="22" xfId="75" applyFont="1" applyFill="1" applyBorder="1" applyAlignment="1">
      <alignment horizontal="center" vertical="center" wrapText="1"/>
      <protection/>
    </xf>
    <xf numFmtId="0" fontId="87" fillId="17" borderId="19" xfId="75" applyFont="1" applyFill="1" applyBorder="1" applyAlignment="1">
      <alignment horizontal="center" vertical="center" wrapText="1"/>
      <protection/>
    </xf>
    <xf numFmtId="0" fontId="87" fillId="17" borderId="24" xfId="75" applyFont="1" applyFill="1" applyBorder="1" applyAlignment="1">
      <alignment horizontal="center" vertical="center" wrapText="1"/>
      <protection/>
    </xf>
    <xf numFmtId="0" fontId="68" fillId="20" borderId="67" xfId="75" applyFill="1" applyBorder="1" applyAlignment="1">
      <alignment horizontal="center" vertical="center" textRotation="90"/>
      <protection/>
    </xf>
    <xf numFmtId="0" fontId="68" fillId="20" borderId="68" xfId="75" applyFill="1" applyBorder="1" applyAlignment="1">
      <alignment horizontal="center" vertical="center" textRotation="90"/>
      <protection/>
    </xf>
    <xf numFmtId="0" fontId="68" fillId="20" borderId="69" xfId="75" applyFill="1" applyBorder="1" applyAlignment="1">
      <alignment horizontal="center" vertical="center" textRotation="90"/>
      <protection/>
    </xf>
    <xf numFmtId="0" fontId="68" fillId="20" borderId="70" xfId="75" applyFill="1" applyBorder="1" applyAlignment="1">
      <alignment horizontal="center" vertical="center" textRotation="90"/>
      <protection/>
    </xf>
    <xf numFmtId="0" fontId="68" fillId="20" borderId="71" xfId="75" applyFill="1" applyBorder="1" applyAlignment="1">
      <alignment horizontal="center" vertical="center" textRotation="90"/>
      <protection/>
    </xf>
    <xf numFmtId="0" fontId="68" fillId="20" borderId="72" xfId="75" applyFill="1" applyBorder="1" applyAlignment="1">
      <alignment horizontal="center" vertical="center" textRotation="90"/>
      <protection/>
    </xf>
  </cellXfs>
  <cellStyles count="10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Comma 2" xfId="36"/>
    <cellStyle name="Comma 2 2" xfId="37"/>
    <cellStyle name="Dålig" xfId="38"/>
    <cellStyle name="Dekorfärg1" xfId="39"/>
    <cellStyle name="Dekorfärg2" xfId="40"/>
    <cellStyle name="Dekorfärg3" xfId="41"/>
    <cellStyle name="Dekorfärg4" xfId="42"/>
    <cellStyle name="Dekorfärg5" xfId="43"/>
    <cellStyle name="Dekorfärg6" xfId="44"/>
    <cellStyle name="Followed Hyperlink" xfId="45"/>
    <cellStyle name="Förklarande text" xfId="46"/>
    <cellStyle name="Grey" xfId="47"/>
    <cellStyle name="Hyperlink" xfId="48"/>
    <cellStyle name="Indata" xfId="49"/>
    <cellStyle name="Input [yellow]" xfId="50"/>
    <cellStyle name="Kontrollcell" xfId="51"/>
    <cellStyle name="Länkad cell" xfId="52"/>
    <cellStyle name="Neutral" xfId="53"/>
    <cellStyle name="Normal - Style1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3" xfId="66"/>
    <cellStyle name="Normal 2_Business_areas-Q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3" xfId="76"/>
    <cellStyle name="Normal 4" xfId="77"/>
    <cellStyle name="Normal 5" xfId="78"/>
    <cellStyle name="Normal 6" xfId="79"/>
    <cellStyle name="Normal 7" xfId="80"/>
    <cellStyle name="Normal 8" xfId="81"/>
    <cellStyle name="Normal 9" xfId="82"/>
    <cellStyle name="Normalblå" xfId="83"/>
    <cellStyle name="Percent [2]" xfId="84"/>
    <cellStyle name="Percent 10" xfId="85"/>
    <cellStyle name="Percent 11" xfId="86"/>
    <cellStyle name="Percent 12" xfId="87"/>
    <cellStyle name="Percent 13" xfId="88"/>
    <cellStyle name="Percent 2" xfId="89"/>
    <cellStyle name="Percent 3" xfId="90"/>
    <cellStyle name="Percent 4" xfId="91"/>
    <cellStyle name="Percent 5" xfId="92"/>
    <cellStyle name="Percent 6" xfId="93"/>
    <cellStyle name="Percent 7" xfId="94"/>
    <cellStyle name="Percent 8" xfId="95"/>
    <cellStyle name="Percent 9" xfId="96"/>
    <cellStyle name="Percentblå" xfId="97"/>
    <cellStyle name="Percent" xfId="98"/>
    <cellStyle name="QR_Period_val" xfId="99"/>
    <cellStyle name="Rubrik" xfId="100"/>
    <cellStyle name="Rubrik 1" xfId="101"/>
    <cellStyle name="Rubrik 2" xfId="102"/>
    <cellStyle name="Rubrik 3" xfId="103"/>
    <cellStyle name="Rubrik 4" xfId="104"/>
    <cellStyle name="Summa" xfId="105"/>
    <cellStyle name="t" xfId="106"/>
    <cellStyle name="TblEnDecimal" xfId="107"/>
    <cellStyle name="TblPostLinje" xfId="108"/>
    <cellStyle name="TblUnderrubrik" xfId="109"/>
    <cellStyle name="Times New Roman" xfId="110"/>
    <cellStyle name="Title" xfId="111"/>
    <cellStyle name="Comma" xfId="112"/>
    <cellStyle name="Comma [0]" xfId="113"/>
    <cellStyle name="Utdata" xfId="114"/>
    <cellStyle name="Currency" xfId="115"/>
    <cellStyle name="Currency [0]" xfId="116"/>
    <cellStyle name="Varnings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5</xdr:row>
      <xdr:rowOff>123825</xdr:rowOff>
    </xdr:from>
    <xdr:to>
      <xdr:col>10</xdr:col>
      <xdr:colOff>333375</xdr:colOff>
      <xdr:row>14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820025" y="981075"/>
          <a:ext cx="7029450" cy="1400175"/>
        </a:xfrm>
        <a:prstGeom prst="rect">
          <a:avLst/>
        </a:prstGeom>
        <a:solidFill>
          <a:srgbClr val="D9D9D9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 of Q4 2019, Electrolux professional is reported as discontinued operations, following the decision by the Board to propose a distribution of the shares. For 2018 and 2019, the financials refer to the consumer business, ‘continuing operations’, exclusive of Electrolux Professional, unless otherwise stated. For more information, see 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https://www.electroluxgroup.com/en/accounting-principles-22991/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A\Strictly%20Confidential\C-E\2.%20External%20reports\Annual%20Report\2015\Antal%20anst&#228;llda%20med%20k&#246;nsf&#246;rdelning%202006%20-%202015%20(2016-01-27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GA\Strictly%20Confidential\C-E\2.%20External%20reports\Annual%20Report\2016\Antal%20anst&#228;llda%20med%20k&#246;nsf&#246;rdelning%202006%20-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5 M &amp; F Empl per country"/>
      <sheetName val="2015 M&amp;F split"/>
      <sheetName val="FTE 2015"/>
      <sheetName val="2014 M &amp; F Empl per country"/>
      <sheetName val="2014 M&amp;F split"/>
      <sheetName val="FTE 2014"/>
      <sheetName val="2013 M&amp;F split"/>
      <sheetName val="2013 M &amp; F Empl per country"/>
      <sheetName val="Empl per country Sum"/>
      <sheetName val="Empl per country 2012"/>
      <sheetName val="db_2012"/>
      <sheetName val="Empl per country 2011"/>
      <sheetName val="db_2011"/>
      <sheetName val="Empl per country 2010"/>
      <sheetName val="Empl per country 2009"/>
      <sheetName val="Empl per country 2008"/>
      <sheetName val="Empl per country 2007"/>
      <sheetName val="Empl per country 2006"/>
      <sheetName val="Original data from Web"/>
      <sheetName val="db_2010"/>
      <sheetName val="db_2009"/>
      <sheetName val="db_2008"/>
      <sheetName val="db_2007"/>
      <sheetName val="db_2006"/>
      <sheetName val="tables"/>
    </sheetNames>
    <sheetDataSet>
      <sheetData sheetId="2">
        <row r="6">
          <cell r="A6" t="str">
            <v>ARGENTINA</v>
          </cell>
          <cell r="B6">
            <v>1063</v>
          </cell>
        </row>
        <row r="7">
          <cell r="A7" t="str">
            <v>AUSTRALIA</v>
          </cell>
          <cell r="B7">
            <v>1320</v>
          </cell>
        </row>
        <row r="8">
          <cell r="A8" t="str">
            <v>AUSTRIA</v>
          </cell>
          <cell r="B8">
            <v>112</v>
          </cell>
        </row>
        <row r="9">
          <cell r="A9" t="str">
            <v>BELGIUM</v>
          </cell>
          <cell r="B9">
            <v>183</v>
          </cell>
        </row>
        <row r="10">
          <cell r="A10" t="str">
            <v>BRAZIL</v>
          </cell>
          <cell r="B10">
            <v>8683</v>
          </cell>
        </row>
        <row r="11">
          <cell r="A11" t="str">
            <v>CANADA</v>
          </cell>
          <cell r="B11">
            <v>232</v>
          </cell>
        </row>
        <row r="12">
          <cell r="A12" t="str">
            <v>CHILE</v>
          </cell>
          <cell r="B12">
            <v>2279</v>
          </cell>
        </row>
        <row r="13">
          <cell r="A13" t="str">
            <v>CHINA</v>
          </cell>
          <cell r="B13">
            <v>1034</v>
          </cell>
        </row>
        <row r="14">
          <cell r="A14" t="str">
            <v>COLOMBIACOP</v>
          </cell>
          <cell r="B14">
            <v>243</v>
          </cell>
        </row>
        <row r="15">
          <cell r="A15" t="str">
            <v>CROATIA</v>
          </cell>
          <cell r="B15">
            <v>26</v>
          </cell>
        </row>
        <row r="16">
          <cell r="A16" t="str">
            <v>CZECHREPUBLIC</v>
          </cell>
          <cell r="B16">
            <v>41</v>
          </cell>
        </row>
        <row r="17">
          <cell r="A17" t="str">
            <v>DENMARK</v>
          </cell>
          <cell r="B17">
            <v>169</v>
          </cell>
        </row>
        <row r="18">
          <cell r="A18" t="str">
            <v>ECUADOR</v>
          </cell>
          <cell r="B18">
            <v>128</v>
          </cell>
        </row>
        <row r="19">
          <cell r="A19" t="str">
            <v>EGYPT</v>
          </cell>
          <cell r="B19">
            <v>4174</v>
          </cell>
        </row>
        <row r="20">
          <cell r="A20" t="str">
            <v>ESTONIA</v>
          </cell>
          <cell r="B20">
            <v>16</v>
          </cell>
        </row>
        <row r="21">
          <cell r="A21" t="str">
            <v>FINLAND</v>
          </cell>
          <cell r="B21">
            <v>115</v>
          </cell>
        </row>
        <row r="22">
          <cell r="A22" t="str">
            <v>FRANCE</v>
          </cell>
          <cell r="B22">
            <v>590</v>
          </cell>
        </row>
        <row r="23">
          <cell r="A23" t="str">
            <v>GERMANY</v>
          </cell>
          <cell r="B23">
            <v>1651</v>
          </cell>
        </row>
        <row r="24">
          <cell r="A24" t="str">
            <v>GREATBRITAIN</v>
          </cell>
          <cell r="B24">
            <v>402</v>
          </cell>
        </row>
        <row r="25">
          <cell r="A25" t="str">
            <v>GREECE</v>
          </cell>
          <cell r="B25">
            <v>44</v>
          </cell>
        </row>
        <row r="26">
          <cell r="A26" t="str">
            <v>HONGKONG</v>
          </cell>
          <cell r="B26">
            <v>22</v>
          </cell>
        </row>
        <row r="27">
          <cell r="A27" t="str">
            <v>HUNGARY</v>
          </cell>
          <cell r="B27">
            <v>2638</v>
          </cell>
        </row>
        <row r="28">
          <cell r="A28" t="str">
            <v>INDIA</v>
          </cell>
          <cell r="B28">
            <v>24</v>
          </cell>
        </row>
        <row r="29">
          <cell r="A29" t="str">
            <v>INDONESIA</v>
          </cell>
          <cell r="B29">
            <v>214</v>
          </cell>
        </row>
        <row r="30">
          <cell r="A30" t="str">
            <v>IRELAND</v>
          </cell>
          <cell r="B30">
            <v>20</v>
          </cell>
        </row>
        <row r="31">
          <cell r="A31" t="str">
            <v>ITALY</v>
          </cell>
          <cell r="B31">
            <v>5183</v>
          </cell>
        </row>
        <row r="32">
          <cell r="A32" t="str">
            <v>JAPAN</v>
          </cell>
          <cell r="B32">
            <v>143</v>
          </cell>
        </row>
        <row r="33">
          <cell r="A33" t="str">
            <v>LATVIA</v>
          </cell>
          <cell r="B33">
            <v>10</v>
          </cell>
        </row>
        <row r="34">
          <cell r="A34" t="str">
            <v>LITHUANIA</v>
          </cell>
          <cell r="B34">
            <v>14</v>
          </cell>
        </row>
        <row r="35">
          <cell r="A35" t="str">
            <v>LUXEMBOURG</v>
          </cell>
          <cell r="B35">
            <v>28</v>
          </cell>
        </row>
        <row r="36">
          <cell r="A36" t="str">
            <v>MALAYSIA</v>
          </cell>
          <cell r="B36">
            <v>201</v>
          </cell>
        </row>
        <row r="37">
          <cell r="A37" t="str">
            <v>MEXICO</v>
          </cell>
          <cell r="B37">
            <v>5710</v>
          </cell>
        </row>
        <row r="38">
          <cell r="A38" t="str">
            <v>NETHERLANDS</v>
          </cell>
          <cell r="B38">
            <v>244</v>
          </cell>
        </row>
        <row r="39">
          <cell r="A39" t="str">
            <v>NEWZEALAND</v>
          </cell>
          <cell r="B39">
            <v>49</v>
          </cell>
        </row>
        <row r="40">
          <cell r="A40" t="str">
            <v>NORWAY</v>
          </cell>
          <cell r="B40">
            <v>55</v>
          </cell>
        </row>
        <row r="41">
          <cell r="A41" t="str">
            <v>PERU</v>
          </cell>
          <cell r="B41">
            <v>212</v>
          </cell>
        </row>
        <row r="42">
          <cell r="A42" t="str">
            <v>PHILIPPINES</v>
          </cell>
          <cell r="B42">
            <v>64</v>
          </cell>
        </row>
        <row r="43">
          <cell r="A43" t="str">
            <v>POLAND</v>
          </cell>
          <cell r="B43">
            <v>4803</v>
          </cell>
        </row>
        <row r="44">
          <cell r="A44" t="str">
            <v>PORTUGAL</v>
          </cell>
          <cell r="B44">
            <v>29</v>
          </cell>
        </row>
        <row r="45">
          <cell r="A45" t="str">
            <v>ROMANIAROL</v>
          </cell>
          <cell r="B45">
            <v>775</v>
          </cell>
        </row>
        <row r="46">
          <cell r="A46" t="str">
            <v>RUSSIA</v>
          </cell>
          <cell r="B46">
            <v>134</v>
          </cell>
        </row>
        <row r="47">
          <cell r="A47" t="str">
            <v>SINGAPORE2</v>
          </cell>
          <cell r="B47">
            <v>214</v>
          </cell>
        </row>
        <row r="48">
          <cell r="A48" t="str">
            <v>SLOVAKIA</v>
          </cell>
          <cell r="B48">
            <v>46</v>
          </cell>
        </row>
        <row r="49">
          <cell r="A49" t="str">
            <v>SLOVENIA</v>
          </cell>
          <cell r="B49">
            <v>7</v>
          </cell>
        </row>
        <row r="50">
          <cell r="A50" t="str">
            <v>SOUTHAFRICA</v>
          </cell>
          <cell r="B50">
            <v>44</v>
          </cell>
        </row>
        <row r="51">
          <cell r="A51" t="str">
            <v>SOUTHKOREA</v>
          </cell>
          <cell r="B51">
            <v>53</v>
          </cell>
        </row>
        <row r="52">
          <cell r="A52" t="str">
            <v>SPAIN</v>
          </cell>
          <cell r="B52">
            <v>214</v>
          </cell>
        </row>
        <row r="53">
          <cell r="A53" t="str">
            <v>SWEDEN</v>
          </cell>
          <cell r="B53">
            <v>2027</v>
          </cell>
        </row>
        <row r="54">
          <cell r="A54" t="str">
            <v>SWITZERLAND</v>
          </cell>
          <cell r="B54">
            <v>694</v>
          </cell>
        </row>
        <row r="55">
          <cell r="A55" t="str">
            <v>TAIWAN</v>
          </cell>
          <cell r="B55">
            <v>37</v>
          </cell>
        </row>
        <row r="56">
          <cell r="A56" t="str">
            <v>THAILAND</v>
          </cell>
          <cell r="B56">
            <v>1748</v>
          </cell>
        </row>
        <row r="57">
          <cell r="A57" t="str">
            <v>TURKEYTRY</v>
          </cell>
          <cell r="B57">
            <v>65</v>
          </cell>
        </row>
        <row r="58">
          <cell r="A58" t="str">
            <v>UAE</v>
          </cell>
          <cell r="B58">
            <v>29</v>
          </cell>
        </row>
        <row r="59">
          <cell r="A59" t="str">
            <v>UKRAINE</v>
          </cell>
          <cell r="B59">
            <v>213</v>
          </cell>
        </row>
        <row r="60">
          <cell r="A60" t="str">
            <v>USA</v>
          </cell>
          <cell r="B60">
            <v>9701</v>
          </cell>
        </row>
        <row r="61">
          <cell r="A61" t="str">
            <v>VENEZUELA</v>
          </cell>
          <cell r="B61">
            <v>7</v>
          </cell>
        </row>
        <row r="62">
          <cell r="A62" t="str">
            <v>VIETNAM</v>
          </cell>
          <cell r="B62">
            <v>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egal 2016"/>
      <sheetName val="2016 M &amp; F Empl per country"/>
      <sheetName val="2016 M&amp;F split"/>
      <sheetName val="FTE 2016 (&amp;2015)"/>
      <sheetName val="2015 M&amp;F split"/>
      <sheetName val="2015 M &amp; F Empl per country"/>
      <sheetName val="2014 &amp; 2015-to Legal"/>
      <sheetName val="2014 M &amp; F Empl per country"/>
      <sheetName val="2014 M&amp;F split"/>
      <sheetName val="FTE 2014"/>
      <sheetName val="2013 M&amp;F split"/>
      <sheetName val="2013 M &amp; F Empl per country"/>
      <sheetName val="Empl per country Sum"/>
      <sheetName val="Empl per country 2012"/>
      <sheetName val="db_2012"/>
      <sheetName val="Empl per country 2011"/>
      <sheetName val="db_2011"/>
      <sheetName val="Empl per country 2010"/>
      <sheetName val="Empl per country 2009"/>
      <sheetName val="Empl per country 2008"/>
      <sheetName val="Empl per country 2007"/>
      <sheetName val="Empl per country 2006"/>
      <sheetName val="Original data from Web"/>
      <sheetName val="db_2010"/>
      <sheetName val="db_2009"/>
      <sheetName val="db_2008"/>
      <sheetName val="db_2007"/>
      <sheetName val="db_2006"/>
      <sheetName val="tables"/>
    </sheetNames>
    <sheetDataSet>
      <sheetData sheetId="3">
        <row r="76">
          <cell r="A76" t="str">
            <v>ARGENTINA</v>
          </cell>
          <cell r="B76">
            <v>974</v>
          </cell>
        </row>
        <row r="77">
          <cell r="A77" t="str">
            <v>AUSTRALIA</v>
          </cell>
          <cell r="B77">
            <v>1085</v>
          </cell>
        </row>
        <row r="78">
          <cell r="A78" t="str">
            <v>AUSTRIA</v>
          </cell>
          <cell r="B78">
            <v>108</v>
          </cell>
        </row>
        <row r="79">
          <cell r="A79" t="str">
            <v>BELGIUM</v>
          </cell>
          <cell r="B79">
            <v>186</v>
          </cell>
        </row>
        <row r="80">
          <cell r="A80" t="str">
            <v>BRAZIL</v>
          </cell>
          <cell r="B80">
            <v>6996</v>
          </cell>
        </row>
        <row r="81">
          <cell r="A81" t="str">
            <v>CANADA</v>
          </cell>
          <cell r="B81">
            <v>203</v>
          </cell>
        </row>
        <row r="82">
          <cell r="A82" t="str">
            <v>CHILE</v>
          </cell>
          <cell r="B82">
            <v>2239</v>
          </cell>
        </row>
        <row r="83">
          <cell r="A83" t="str">
            <v>CHINA</v>
          </cell>
          <cell r="B83">
            <v>1006</v>
          </cell>
        </row>
        <row r="84">
          <cell r="A84" t="str">
            <v>COLOMBIACOP</v>
          </cell>
          <cell r="B84">
            <v>261</v>
          </cell>
        </row>
        <row r="85">
          <cell r="A85" t="str">
            <v>CROATIA</v>
          </cell>
          <cell r="B85">
            <v>28</v>
          </cell>
        </row>
        <row r="86">
          <cell r="A86" t="str">
            <v>CZECHREPUBLIC</v>
          </cell>
          <cell r="B86">
            <v>48</v>
          </cell>
        </row>
        <row r="87">
          <cell r="A87" t="str">
            <v>DENMARK</v>
          </cell>
          <cell r="B87">
            <v>166</v>
          </cell>
        </row>
        <row r="88">
          <cell r="A88" t="str">
            <v>ECUADOR</v>
          </cell>
          <cell r="B88">
            <v>95</v>
          </cell>
        </row>
        <row r="89">
          <cell r="A89" t="str">
            <v>EGYPT</v>
          </cell>
          <cell r="B89">
            <v>3218</v>
          </cell>
        </row>
        <row r="90">
          <cell r="A90" t="str">
            <v>ESTONIA</v>
          </cell>
          <cell r="B90">
            <v>14</v>
          </cell>
        </row>
        <row r="91">
          <cell r="A91" t="str">
            <v>FINLAND</v>
          </cell>
          <cell r="B91">
            <v>111</v>
          </cell>
        </row>
        <row r="92">
          <cell r="A92" t="str">
            <v>FRANCE</v>
          </cell>
          <cell r="B92">
            <v>585</v>
          </cell>
        </row>
        <row r="93">
          <cell r="A93" t="str">
            <v>GERMANY</v>
          </cell>
          <cell r="B93">
            <v>1686</v>
          </cell>
        </row>
        <row r="94">
          <cell r="A94" t="str">
            <v>GREATBRITAIN</v>
          </cell>
          <cell r="B94">
            <v>405</v>
          </cell>
        </row>
        <row r="95">
          <cell r="A95" t="str">
            <v>GREECE</v>
          </cell>
          <cell r="B95">
            <v>41</v>
          </cell>
        </row>
        <row r="96">
          <cell r="A96" t="str">
            <v>HONGKONG</v>
          </cell>
          <cell r="B96">
            <v>24</v>
          </cell>
        </row>
        <row r="97">
          <cell r="A97" t="str">
            <v>HUNGARY</v>
          </cell>
          <cell r="B97">
            <v>2746</v>
          </cell>
        </row>
        <row r="98">
          <cell r="A98" t="str">
            <v>INDIA</v>
          </cell>
          <cell r="B98">
            <v>23</v>
          </cell>
        </row>
        <row r="99">
          <cell r="A99" t="str">
            <v>INDONESIA</v>
          </cell>
          <cell r="B99">
            <v>107</v>
          </cell>
        </row>
        <row r="100">
          <cell r="A100" t="str">
            <v>IRELAND</v>
          </cell>
          <cell r="B100">
            <v>20</v>
          </cell>
        </row>
        <row r="101">
          <cell r="A101" t="str">
            <v>IRELAND2</v>
          </cell>
          <cell r="B101">
            <v>0</v>
          </cell>
        </row>
        <row r="102">
          <cell r="A102" t="str">
            <v>ITALY</v>
          </cell>
          <cell r="B102">
            <v>5181</v>
          </cell>
        </row>
        <row r="103">
          <cell r="A103" t="str">
            <v>JAPAN</v>
          </cell>
          <cell r="B103">
            <v>136</v>
          </cell>
        </row>
        <row r="104">
          <cell r="A104" t="str">
            <v>LATVIA</v>
          </cell>
          <cell r="B104">
            <v>10</v>
          </cell>
        </row>
        <row r="105">
          <cell r="A105" t="str">
            <v>LITHUANIA</v>
          </cell>
          <cell r="B105">
            <v>14</v>
          </cell>
        </row>
        <row r="106">
          <cell r="A106" t="str">
            <v>LUXEMBOURG</v>
          </cell>
          <cell r="B106">
            <v>28</v>
          </cell>
        </row>
        <row r="107">
          <cell r="A107" t="str">
            <v>MALAYSIA</v>
          </cell>
          <cell r="B107">
            <v>209</v>
          </cell>
        </row>
        <row r="108">
          <cell r="A108" t="str">
            <v>MEXICO</v>
          </cell>
          <cell r="B108">
            <v>5448</v>
          </cell>
        </row>
        <row r="109">
          <cell r="A109" t="str">
            <v>NETHERLANDS</v>
          </cell>
          <cell r="B109">
            <v>240</v>
          </cell>
        </row>
        <row r="110">
          <cell r="A110" t="str">
            <v>NEWZEALAND</v>
          </cell>
          <cell r="B110">
            <v>51</v>
          </cell>
        </row>
        <row r="111">
          <cell r="A111" t="str">
            <v>NORWAY</v>
          </cell>
          <cell r="B111">
            <v>56</v>
          </cell>
        </row>
        <row r="112">
          <cell r="A112" t="str">
            <v>PERU</v>
          </cell>
          <cell r="B112">
            <v>202</v>
          </cell>
        </row>
        <row r="113">
          <cell r="A113" t="str">
            <v>PHILIPPINES</v>
          </cell>
          <cell r="B113">
            <v>61</v>
          </cell>
        </row>
        <row r="114">
          <cell r="A114" t="str">
            <v>POLAND</v>
          </cell>
          <cell r="B114">
            <v>5036</v>
          </cell>
        </row>
        <row r="115">
          <cell r="A115" t="str">
            <v>PORTUGAL</v>
          </cell>
          <cell r="B115">
            <v>29</v>
          </cell>
        </row>
        <row r="116">
          <cell r="A116" t="str">
            <v>ROMANIA</v>
          </cell>
          <cell r="B116">
            <v>0</v>
          </cell>
        </row>
        <row r="117">
          <cell r="A117" t="str">
            <v>ROMANIAROL</v>
          </cell>
          <cell r="B117">
            <v>818</v>
          </cell>
        </row>
        <row r="118">
          <cell r="A118" t="str">
            <v>RUSSIA</v>
          </cell>
          <cell r="B118">
            <v>133</v>
          </cell>
        </row>
        <row r="119">
          <cell r="A119" t="str">
            <v>SINGAPORE2</v>
          </cell>
          <cell r="B119">
            <v>205</v>
          </cell>
        </row>
        <row r="120">
          <cell r="A120" t="str">
            <v>SLOVAKIA</v>
          </cell>
          <cell r="B120">
            <v>45</v>
          </cell>
        </row>
        <row r="121">
          <cell r="A121" t="str">
            <v>SLOVENIA</v>
          </cell>
          <cell r="B121">
            <v>4</v>
          </cell>
        </row>
        <row r="122">
          <cell r="A122" t="str">
            <v>SOUTHAFRICA</v>
          </cell>
          <cell r="B122">
            <v>37</v>
          </cell>
        </row>
        <row r="123">
          <cell r="A123" t="str">
            <v>SOUTHKOREA</v>
          </cell>
          <cell r="B123">
            <v>57</v>
          </cell>
        </row>
        <row r="124">
          <cell r="A124" t="str">
            <v>SPAIN</v>
          </cell>
          <cell r="B124">
            <v>214</v>
          </cell>
        </row>
        <row r="125">
          <cell r="A125" t="str">
            <v>SWEDEN</v>
          </cell>
          <cell r="B125">
            <v>2076</v>
          </cell>
        </row>
        <row r="126">
          <cell r="A126" t="str">
            <v>SWITZERLAND</v>
          </cell>
          <cell r="B126">
            <v>595</v>
          </cell>
        </row>
        <row r="127">
          <cell r="A127" t="str">
            <v>TAIWAN</v>
          </cell>
          <cell r="B127">
            <v>37</v>
          </cell>
        </row>
        <row r="128">
          <cell r="A128" t="str">
            <v>THAILAND</v>
          </cell>
          <cell r="B128">
            <v>1733</v>
          </cell>
        </row>
        <row r="129">
          <cell r="A129" t="str">
            <v>TURKEYTRY</v>
          </cell>
          <cell r="B129">
            <v>70</v>
          </cell>
        </row>
        <row r="130">
          <cell r="A130" t="str">
            <v>UAE</v>
          </cell>
          <cell r="B130">
            <v>44</v>
          </cell>
        </row>
        <row r="131">
          <cell r="A131" t="str">
            <v>UKRAINE</v>
          </cell>
          <cell r="B131">
            <v>298</v>
          </cell>
        </row>
        <row r="132">
          <cell r="A132" t="str">
            <v>URUGUAY2</v>
          </cell>
          <cell r="B132">
            <v>0</v>
          </cell>
        </row>
        <row r="133">
          <cell r="A133" t="str">
            <v>USA</v>
          </cell>
          <cell r="B133">
            <v>9861</v>
          </cell>
        </row>
        <row r="134">
          <cell r="A134" t="str">
            <v>VENEZUELA</v>
          </cell>
          <cell r="B134">
            <v>3</v>
          </cell>
        </row>
        <row r="135">
          <cell r="A135" t="str">
            <v>VIETNAM</v>
          </cell>
          <cell r="B135">
            <v>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theme="4"/>
  </sheetPr>
  <dimension ref="C2:U191"/>
  <sheetViews>
    <sheetView showGridLines="0" zoomScalePageLayoutView="110" workbookViewId="0" topLeftCell="A1">
      <selection activeCell="F54" sqref="F54"/>
    </sheetView>
  </sheetViews>
  <sheetFormatPr defaultColWidth="6.28125" defaultRowHeight="12.75" outlineLevelCol="1"/>
  <cols>
    <col min="1" max="2" width="1.7109375" style="136" customWidth="1"/>
    <col min="3" max="3" width="15.28125" style="136" customWidth="1"/>
    <col min="4" max="5" width="9.28125" style="136" customWidth="1"/>
    <col min="6" max="6" width="11.28125" style="136" customWidth="1"/>
    <col min="7" max="7" width="4.7109375" style="136" customWidth="1"/>
    <col min="8" max="8" width="10.28125" style="136" customWidth="1"/>
    <col min="9" max="9" width="18.28125" style="136" customWidth="1"/>
    <col min="10" max="10" width="15.421875" style="136" customWidth="1"/>
    <col min="11" max="14" width="15.28125" style="136" customWidth="1" outlineLevel="1"/>
    <col min="15" max="18" width="15.421875" style="136" customWidth="1" outlineLevel="1"/>
    <col min="19" max="19" width="7.7109375" style="136" customWidth="1"/>
    <col min="20" max="20" width="9.7109375" style="136" customWidth="1"/>
    <col min="21" max="21" width="15.00390625" style="136" customWidth="1"/>
    <col min="22" max="23" width="6.28125" style="136" customWidth="1"/>
    <col min="24" max="24" width="2.57421875" style="136" customWidth="1"/>
    <col min="25" max="25" width="15.00390625" style="136" customWidth="1"/>
    <col min="26" max="27" width="13.00390625" style="136" customWidth="1"/>
    <col min="28" max="28" width="12.28125" style="136" customWidth="1"/>
    <col min="29" max="29" width="13.00390625" style="136" customWidth="1"/>
    <col min="30" max="32" width="12.7109375" style="136" customWidth="1"/>
    <col min="33" max="34" width="13.00390625" style="136" customWidth="1"/>
    <col min="35" max="35" width="2.7109375" style="136" customWidth="1"/>
    <col min="36" max="16384" width="6.28125" style="136" customWidth="1"/>
  </cols>
  <sheetData>
    <row r="2" spans="11:12" ht="10.5">
      <c r="K2" s="137" t="s">
        <v>231</v>
      </c>
      <c r="L2" s="138" t="e">
        <f>VALUE(RIGHT(SelQ,1))</f>
        <v>#REF!</v>
      </c>
    </row>
    <row r="3" spans="8:12" ht="10.5">
      <c r="H3" s="139"/>
      <c r="K3" s="137" t="s">
        <v>232</v>
      </c>
      <c r="L3" s="138" t="e">
        <f>Q_No+IF(SelLng="ENG",4,0)</f>
        <v>#REF!</v>
      </c>
    </row>
    <row r="4" spans="3:6" ht="10.5" thickBot="1">
      <c r="C4" s="140"/>
      <c r="D4" s="140"/>
      <c r="E4" s="140"/>
      <c r="F4" s="140"/>
    </row>
    <row r="5" spans="9:10" ht="11.25" thickBot="1" thickTop="1">
      <c r="I5" s="258" t="s">
        <v>233</v>
      </c>
      <c r="J5" s="260" t="s">
        <v>234</v>
      </c>
    </row>
    <row r="6" spans="8:21" ht="13.5" thickBot="1" thickTop="1">
      <c r="H6" s="141"/>
      <c r="I6" s="259"/>
      <c r="J6" s="261"/>
      <c r="K6" s="142" t="s">
        <v>227</v>
      </c>
      <c r="L6" s="142"/>
      <c r="M6" s="142"/>
      <c r="N6" s="142"/>
      <c r="O6" s="142" t="s">
        <v>228</v>
      </c>
      <c r="P6" s="142"/>
      <c r="Q6" s="142"/>
      <c r="R6" s="142"/>
      <c r="S6" s="143" t="s">
        <v>235</v>
      </c>
      <c r="T6" s="144"/>
      <c r="U6" s="144"/>
    </row>
    <row r="7" spans="3:21" ht="13.5" thickTop="1">
      <c r="C7" s="145" t="s">
        <v>236</v>
      </c>
      <c r="D7" s="145" t="s">
        <v>138</v>
      </c>
      <c r="E7" s="145" t="s">
        <v>236</v>
      </c>
      <c r="F7" s="145" t="s">
        <v>237</v>
      </c>
      <c r="H7" s="146"/>
      <c r="I7" s="147" t="s">
        <v>238</v>
      </c>
      <c r="J7" s="148" t="e">
        <f aca="true" t="shared" si="0" ref="J7:J38">INDEX(K7:R7,,SelectIdx)</f>
        <v>#REF!</v>
      </c>
      <c r="K7" s="140" t="s">
        <v>239</v>
      </c>
      <c r="L7" s="140" t="s">
        <v>240</v>
      </c>
      <c r="M7" s="140" t="s">
        <v>241</v>
      </c>
      <c r="N7" s="140" t="s">
        <v>242</v>
      </c>
      <c r="O7" s="140" t="s">
        <v>243</v>
      </c>
      <c r="P7" s="140" t="s">
        <v>244</v>
      </c>
      <c r="Q7" s="140" t="s">
        <v>245</v>
      </c>
      <c r="R7" s="140" t="s">
        <v>246</v>
      </c>
      <c r="U7" s="149"/>
    </row>
    <row r="8" spans="3:21" ht="10.5" thickBot="1">
      <c r="C8" s="150" t="s">
        <v>247</v>
      </c>
      <c r="D8" s="151" t="e">
        <f>SelYear</f>
        <v>#REF!</v>
      </c>
      <c r="E8" s="150" t="s">
        <v>248</v>
      </c>
      <c r="F8" s="152" t="e">
        <f>VALUE(RIGHT(SelYear,2))</f>
        <v>#REF!</v>
      </c>
      <c r="H8" s="153"/>
      <c r="I8" s="154" t="s">
        <v>249</v>
      </c>
      <c r="J8" s="155" t="e">
        <f t="shared" si="0"/>
        <v>#REF!</v>
      </c>
      <c r="K8" s="156" t="s">
        <v>250</v>
      </c>
      <c r="L8" s="156" t="s">
        <v>251</v>
      </c>
      <c r="M8" s="156" t="s">
        <v>252</v>
      </c>
      <c r="N8" s="156" t="s">
        <v>253</v>
      </c>
      <c r="O8" s="156" t="s">
        <v>254</v>
      </c>
      <c r="P8" s="156" t="s">
        <v>255</v>
      </c>
      <c r="Q8" s="156" t="s">
        <v>256</v>
      </c>
      <c r="R8" s="156" t="s">
        <v>257</v>
      </c>
      <c r="S8" s="157"/>
      <c r="T8" s="157"/>
      <c r="U8" s="158"/>
    </row>
    <row r="9" spans="3:21" ht="12.75" customHeight="1" thickTop="1">
      <c r="C9" s="150" t="s">
        <v>258</v>
      </c>
      <c r="D9" s="151" t="e">
        <f aca="true" t="shared" si="1" ref="D9:D18">D8-1</f>
        <v>#REF!</v>
      </c>
      <c r="E9" s="150" t="s">
        <v>259</v>
      </c>
      <c r="F9" s="152" t="e">
        <f aca="true" t="shared" si="2" ref="F9:F18">TEXT(F8-1,"00")</f>
        <v>#REF!</v>
      </c>
      <c r="H9" s="262" t="s">
        <v>260</v>
      </c>
      <c r="I9" s="159" t="s">
        <v>261</v>
      </c>
      <c r="J9" s="160" t="e">
        <f>INDEX(K9:R9,,SelectIdx)</f>
        <v>#REF!</v>
      </c>
      <c r="K9" s="161">
        <v>1</v>
      </c>
      <c r="L9" s="161">
        <v>2</v>
      </c>
      <c r="M9" s="161">
        <v>3</v>
      </c>
      <c r="N9" s="161">
        <v>4</v>
      </c>
      <c r="O9" s="161">
        <v>1</v>
      </c>
      <c r="P9" s="161">
        <v>2</v>
      </c>
      <c r="Q9" s="161">
        <v>3</v>
      </c>
      <c r="R9" s="161">
        <v>4</v>
      </c>
      <c r="S9" s="161"/>
      <c r="T9" s="162"/>
      <c r="U9" s="163"/>
    </row>
    <row r="10" spans="3:21" ht="10.5">
      <c r="C10" s="150" t="s">
        <v>262</v>
      </c>
      <c r="D10" s="151" t="e">
        <f t="shared" si="1"/>
        <v>#REF!</v>
      </c>
      <c r="E10" s="150" t="s">
        <v>263</v>
      </c>
      <c r="F10" s="152" t="e">
        <f t="shared" si="2"/>
        <v>#REF!</v>
      </c>
      <c r="H10" s="263"/>
      <c r="I10" s="164" t="s">
        <v>264</v>
      </c>
      <c r="J10" s="165" t="e">
        <f t="shared" si="0"/>
        <v>#REF!</v>
      </c>
      <c r="K10" s="166" t="str">
        <f>"Q"&amp;K9</f>
        <v>Q1</v>
      </c>
      <c r="L10" s="166" t="str">
        <f aca="true" t="shared" si="3" ref="L10:R10">"Q"&amp;L9</f>
        <v>Q2</v>
      </c>
      <c r="M10" s="166" t="str">
        <f t="shared" si="3"/>
        <v>Q3</v>
      </c>
      <c r="N10" s="166" t="str">
        <f t="shared" si="3"/>
        <v>Q4</v>
      </c>
      <c r="O10" s="166" t="str">
        <f t="shared" si="3"/>
        <v>Q1</v>
      </c>
      <c r="P10" s="166" t="str">
        <f t="shared" si="3"/>
        <v>Q2</v>
      </c>
      <c r="Q10" s="166" t="str">
        <f t="shared" si="3"/>
        <v>Q3</v>
      </c>
      <c r="R10" s="166" t="str">
        <f t="shared" si="3"/>
        <v>Q4</v>
      </c>
      <c r="S10" s="167"/>
      <c r="T10" s="168"/>
      <c r="U10" s="169"/>
    </row>
    <row r="11" spans="3:21" ht="10.5">
      <c r="C11" s="150" t="s">
        <v>265</v>
      </c>
      <c r="D11" s="151" t="e">
        <f t="shared" si="1"/>
        <v>#REF!</v>
      </c>
      <c r="E11" s="150" t="s">
        <v>266</v>
      </c>
      <c r="F11" s="152" t="e">
        <f t="shared" si="2"/>
        <v>#REF!</v>
      </c>
      <c r="H11" s="263"/>
      <c r="I11" s="164" t="s">
        <v>267</v>
      </c>
      <c r="J11" s="165" t="e">
        <f t="shared" si="0"/>
        <v>#REF!</v>
      </c>
      <c r="K11" s="166" t="e">
        <f aca="true" t="shared" si="4" ref="K11:R11">K10&amp;$S11&amp;SelYear</f>
        <v>#REF!</v>
      </c>
      <c r="L11" s="166" t="e">
        <f t="shared" si="4"/>
        <v>#REF!</v>
      </c>
      <c r="M11" s="166" t="e">
        <f t="shared" si="4"/>
        <v>#REF!</v>
      </c>
      <c r="N11" s="166" t="e">
        <f t="shared" si="4"/>
        <v>#REF!</v>
      </c>
      <c r="O11" s="166" t="e">
        <f t="shared" si="4"/>
        <v>#REF!</v>
      </c>
      <c r="P11" s="166" t="e">
        <f t="shared" si="4"/>
        <v>#REF!</v>
      </c>
      <c r="Q11" s="166" t="e">
        <f t="shared" si="4"/>
        <v>#REF!</v>
      </c>
      <c r="R11" s="166" t="e">
        <f t="shared" si="4"/>
        <v>#REF!</v>
      </c>
      <c r="S11" s="167" t="s">
        <v>229</v>
      </c>
      <c r="T11" s="168"/>
      <c r="U11" s="169"/>
    </row>
    <row r="12" spans="3:21" ht="10.5">
      <c r="C12" s="150" t="s">
        <v>268</v>
      </c>
      <c r="D12" s="151" t="e">
        <f t="shared" si="1"/>
        <v>#REF!</v>
      </c>
      <c r="E12" s="150" t="s">
        <v>269</v>
      </c>
      <c r="F12" s="152" t="e">
        <f t="shared" si="2"/>
        <v>#REF!</v>
      </c>
      <c r="H12" s="263"/>
      <c r="I12" s="164" t="s">
        <v>270</v>
      </c>
      <c r="J12" s="165" t="e">
        <f t="shared" si="0"/>
        <v>#REF!</v>
      </c>
      <c r="K12" s="166" t="e">
        <f>K10&amp;$S12&amp;ActY</f>
        <v>#REF!</v>
      </c>
      <c r="L12" s="166" t="e">
        <f aca="true" t="shared" si="5" ref="L12:R12">L10&amp;$S12&amp;ActY</f>
        <v>#REF!</v>
      </c>
      <c r="M12" s="166" t="e">
        <f t="shared" si="5"/>
        <v>#REF!</v>
      </c>
      <c r="N12" s="166" t="e">
        <f t="shared" si="5"/>
        <v>#REF!</v>
      </c>
      <c r="O12" s="166" t="e">
        <f t="shared" si="5"/>
        <v>#REF!</v>
      </c>
      <c r="P12" s="166" t="e">
        <f t="shared" si="5"/>
        <v>#REF!</v>
      </c>
      <c r="Q12" s="166" t="e">
        <f t="shared" si="5"/>
        <v>#REF!</v>
      </c>
      <c r="R12" s="166" t="e">
        <f t="shared" si="5"/>
        <v>#REF!</v>
      </c>
      <c r="S12" s="167" t="s">
        <v>229</v>
      </c>
      <c r="T12" s="168"/>
      <c r="U12" s="169"/>
    </row>
    <row r="13" spans="3:21" ht="10.5">
      <c r="C13" s="150" t="s">
        <v>271</v>
      </c>
      <c r="D13" s="151" t="e">
        <f t="shared" si="1"/>
        <v>#REF!</v>
      </c>
      <c r="E13" s="150" t="s">
        <v>272</v>
      </c>
      <c r="F13" s="152" t="e">
        <f t="shared" si="2"/>
        <v>#REF!</v>
      </c>
      <c r="H13" s="263"/>
      <c r="I13" s="164" t="s">
        <v>273</v>
      </c>
      <c r="J13" s="165" t="e">
        <f t="shared" si="0"/>
        <v>#REF!</v>
      </c>
      <c r="K13" s="166" t="e">
        <f aca="true" t="shared" si="6" ref="K13:R13">K9&amp;$S13&amp;SelYear</f>
        <v>#REF!</v>
      </c>
      <c r="L13" s="166" t="e">
        <f t="shared" si="6"/>
        <v>#REF!</v>
      </c>
      <c r="M13" s="166" t="e">
        <f t="shared" si="6"/>
        <v>#REF!</v>
      </c>
      <c r="N13" s="166" t="e">
        <f t="shared" si="6"/>
        <v>#REF!</v>
      </c>
      <c r="O13" s="166" t="e">
        <f t="shared" si="6"/>
        <v>#REF!</v>
      </c>
      <c r="P13" s="166" t="e">
        <f t="shared" si="6"/>
        <v>#REF!</v>
      </c>
      <c r="Q13" s="166" t="e">
        <f t="shared" si="6"/>
        <v>#REF!</v>
      </c>
      <c r="R13" s="166" t="e">
        <f t="shared" si="6"/>
        <v>#REF!</v>
      </c>
      <c r="S13" s="167" t="s">
        <v>229</v>
      </c>
      <c r="T13" s="168"/>
      <c r="U13" s="169"/>
    </row>
    <row r="14" spans="3:21" ht="10.5" thickBot="1">
      <c r="C14" s="150" t="s">
        <v>274</v>
      </c>
      <c r="D14" s="151" t="e">
        <f t="shared" si="1"/>
        <v>#REF!</v>
      </c>
      <c r="E14" s="150" t="s">
        <v>275</v>
      </c>
      <c r="F14" s="152" t="e">
        <f t="shared" si="2"/>
        <v>#REF!</v>
      </c>
      <c r="H14" s="263"/>
      <c r="I14" s="170" t="s">
        <v>276</v>
      </c>
      <c r="J14" s="171" t="e">
        <f t="shared" si="0"/>
        <v>#REF!</v>
      </c>
      <c r="K14" s="172" t="e">
        <f aca="true" t="shared" si="7" ref="K14:R14">K9&amp;$S14&amp;ActY</f>
        <v>#REF!</v>
      </c>
      <c r="L14" s="172" t="e">
        <f t="shared" si="7"/>
        <v>#REF!</v>
      </c>
      <c r="M14" s="172" t="e">
        <f>M9&amp;$S14&amp;ActY</f>
        <v>#REF!</v>
      </c>
      <c r="N14" s="172" t="e">
        <f t="shared" si="7"/>
        <v>#REF!</v>
      </c>
      <c r="O14" s="172" t="e">
        <f t="shared" si="7"/>
        <v>#REF!</v>
      </c>
      <c r="P14" s="172" t="e">
        <f t="shared" si="7"/>
        <v>#REF!</v>
      </c>
      <c r="Q14" s="172" t="e">
        <f t="shared" si="7"/>
        <v>#REF!</v>
      </c>
      <c r="R14" s="172" t="e">
        <f t="shared" si="7"/>
        <v>#REF!</v>
      </c>
      <c r="S14" s="173" t="s">
        <v>229</v>
      </c>
      <c r="T14" s="174"/>
      <c r="U14" s="175"/>
    </row>
    <row r="15" spans="3:21" ht="10.5">
      <c r="C15" s="150" t="s">
        <v>277</v>
      </c>
      <c r="D15" s="151" t="e">
        <f t="shared" si="1"/>
        <v>#REF!</v>
      </c>
      <c r="E15" s="150" t="s">
        <v>278</v>
      </c>
      <c r="F15" s="152" t="e">
        <f t="shared" si="2"/>
        <v>#REF!</v>
      </c>
      <c r="H15" s="263"/>
      <c r="I15" s="176" t="s">
        <v>279</v>
      </c>
      <c r="J15" s="177" t="e">
        <f t="shared" si="0"/>
        <v>#REF!</v>
      </c>
      <c r="K15" s="178" t="s">
        <v>280</v>
      </c>
      <c r="L15" s="178" t="s">
        <v>281</v>
      </c>
      <c r="M15" s="178" t="s">
        <v>282</v>
      </c>
      <c r="N15" s="178" t="s">
        <v>283</v>
      </c>
      <c r="O15" s="178" t="s">
        <v>280</v>
      </c>
      <c r="P15" s="178" t="s">
        <v>281</v>
      </c>
      <c r="Q15" s="178" t="s">
        <v>282</v>
      </c>
      <c r="R15" s="178" t="s">
        <v>283</v>
      </c>
      <c r="S15" s="179"/>
      <c r="T15" s="180"/>
      <c r="U15" s="181"/>
    </row>
    <row r="16" spans="3:21" ht="10.5" thickBot="1">
      <c r="C16" s="150" t="s">
        <v>284</v>
      </c>
      <c r="D16" s="151" t="e">
        <f t="shared" si="1"/>
        <v>#REF!</v>
      </c>
      <c r="E16" s="150" t="s">
        <v>285</v>
      </c>
      <c r="F16" s="152" t="e">
        <f t="shared" si="2"/>
        <v>#REF!</v>
      </c>
      <c r="H16" s="263"/>
      <c r="I16" s="170" t="s">
        <v>286</v>
      </c>
      <c r="J16" s="171" t="e">
        <f t="shared" si="0"/>
        <v>#REF!</v>
      </c>
      <c r="K16" s="172" t="e">
        <f aca="true" t="shared" si="8" ref="K16:R16">ActYear&amp;$S16&amp;K15</f>
        <v>#REF!</v>
      </c>
      <c r="L16" s="172" t="e">
        <f t="shared" si="8"/>
        <v>#REF!</v>
      </c>
      <c r="M16" s="172" t="e">
        <f t="shared" si="8"/>
        <v>#REF!</v>
      </c>
      <c r="N16" s="172" t="e">
        <f t="shared" si="8"/>
        <v>#REF!</v>
      </c>
      <c r="O16" s="172" t="e">
        <f t="shared" si="8"/>
        <v>#REF!</v>
      </c>
      <c r="P16" s="172" t="e">
        <f t="shared" si="8"/>
        <v>#REF!</v>
      </c>
      <c r="Q16" s="172" t="e">
        <f t="shared" si="8"/>
        <v>#REF!</v>
      </c>
      <c r="R16" s="172" t="e">
        <f t="shared" si="8"/>
        <v>#REF!</v>
      </c>
      <c r="S16" s="173" t="s">
        <v>229</v>
      </c>
      <c r="T16" s="174"/>
      <c r="U16" s="175"/>
    </row>
    <row r="17" spans="3:21" ht="10.5">
      <c r="C17" s="150" t="s">
        <v>287</v>
      </c>
      <c r="D17" s="151" t="e">
        <f t="shared" si="1"/>
        <v>#REF!</v>
      </c>
      <c r="E17" s="150" t="s">
        <v>288</v>
      </c>
      <c r="F17" s="152" t="e">
        <f t="shared" si="2"/>
        <v>#REF!</v>
      </c>
      <c r="H17" s="263"/>
      <c r="I17" s="176" t="s">
        <v>289</v>
      </c>
      <c r="J17" s="177" t="e">
        <f t="shared" si="0"/>
        <v>#REF!</v>
      </c>
      <c r="K17" s="179" t="s">
        <v>290</v>
      </c>
      <c r="L17" s="179" t="s">
        <v>291</v>
      </c>
      <c r="M17" s="179" t="s">
        <v>292</v>
      </c>
      <c r="N17" s="179" t="s">
        <v>293</v>
      </c>
      <c r="O17" s="179" t="s">
        <v>294</v>
      </c>
      <c r="P17" s="179" t="s">
        <v>295</v>
      </c>
      <c r="Q17" s="179" t="s">
        <v>296</v>
      </c>
      <c r="R17" s="179" t="s">
        <v>297</v>
      </c>
      <c r="S17" s="179"/>
      <c r="T17" s="180"/>
      <c r="U17" s="181"/>
    </row>
    <row r="18" spans="3:21" ht="10.5">
      <c r="C18" s="150" t="s">
        <v>298</v>
      </c>
      <c r="D18" s="151" t="e">
        <f t="shared" si="1"/>
        <v>#REF!</v>
      </c>
      <c r="E18" s="150" t="s">
        <v>299</v>
      </c>
      <c r="F18" s="152" t="e">
        <f t="shared" si="2"/>
        <v>#REF!</v>
      </c>
      <c r="H18" s="263"/>
      <c r="I18" s="164" t="s">
        <v>300</v>
      </c>
      <c r="J18" s="182" t="e">
        <f t="shared" si="0"/>
        <v>#REF!</v>
      </c>
      <c r="K18" s="183" t="e">
        <f aca="true" t="shared" si="9" ref="K18:R18">_XLL.SLUTMÅNAD(DATE(ActYear,K15,1),0)</f>
        <v>#REF!</v>
      </c>
      <c r="L18" s="183" t="e">
        <f t="shared" si="9"/>
        <v>#REF!</v>
      </c>
      <c r="M18" s="183" t="e">
        <f t="shared" si="9"/>
        <v>#REF!</v>
      </c>
      <c r="N18" s="183" t="e">
        <f t="shared" si="9"/>
        <v>#REF!</v>
      </c>
      <c r="O18" s="183" t="e">
        <f t="shared" si="9"/>
        <v>#REF!</v>
      </c>
      <c r="P18" s="183" t="e">
        <f t="shared" si="9"/>
        <v>#REF!</v>
      </c>
      <c r="Q18" s="183" t="e">
        <f t="shared" si="9"/>
        <v>#REF!</v>
      </c>
      <c r="R18" s="183" t="e">
        <f t="shared" si="9"/>
        <v>#REF!</v>
      </c>
      <c r="S18" s="167"/>
      <c r="T18" s="168"/>
      <c r="U18" s="169"/>
    </row>
    <row r="19" spans="8:21" ht="10.5">
      <c r="H19" s="263"/>
      <c r="I19" s="164" t="s">
        <v>301</v>
      </c>
      <c r="J19" s="165" t="e">
        <f t="shared" si="0"/>
        <v>#REF!</v>
      </c>
      <c r="K19" s="166" t="e">
        <f>K17&amp;$S19&amp;ActYear</f>
        <v>#REF!</v>
      </c>
      <c r="L19" s="166" t="e">
        <f>L17&amp;$S19&amp;ActYear</f>
        <v>#REF!</v>
      </c>
      <c r="M19" s="166" t="e">
        <f>M17&amp;$S19&amp;ActYear</f>
        <v>#REF!</v>
      </c>
      <c r="N19" s="166" t="e">
        <f>N17&amp;$S19&amp;ActYear</f>
        <v>#REF!</v>
      </c>
      <c r="O19" s="166" t="e">
        <f>O17&amp;","&amp;$S19&amp;ActYear</f>
        <v>#REF!</v>
      </c>
      <c r="P19" s="166" t="e">
        <f>P17&amp;","&amp;$S19&amp;ActYear</f>
        <v>#REF!</v>
      </c>
      <c r="Q19" s="166" t="e">
        <f>Q17&amp;","&amp;$S19&amp;ActYear</f>
        <v>#REF!</v>
      </c>
      <c r="R19" s="166" t="e">
        <f>R17&amp;","&amp;$S19&amp;ActYear</f>
        <v>#REF!</v>
      </c>
      <c r="S19" s="167" t="s">
        <v>229</v>
      </c>
      <c r="T19" s="168"/>
      <c r="U19" s="169"/>
    </row>
    <row r="20" spans="3:21" ht="10.5" thickBot="1">
      <c r="C20" s="184" t="s">
        <v>302</v>
      </c>
      <c r="D20" s="185" t="e">
        <f>"H1 "&amp;ActYear</f>
        <v>#REF!</v>
      </c>
      <c r="H20" s="263"/>
      <c r="I20" s="170" t="s">
        <v>303</v>
      </c>
      <c r="J20" s="171" t="e">
        <f t="shared" si="0"/>
        <v>#REF!</v>
      </c>
      <c r="K20" s="172" t="e">
        <f aca="true" t="shared" si="10" ref="K20:R20">K17&amp;$S20&amp;ActY</f>
        <v>#REF!</v>
      </c>
      <c r="L20" s="172" t="e">
        <f t="shared" si="10"/>
        <v>#REF!</v>
      </c>
      <c r="M20" s="172" t="e">
        <f t="shared" si="10"/>
        <v>#REF!</v>
      </c>
      <c r="N20" s="172" t="e">
        <f t="shared" si="10"/>
        <v>#REF!</v>
      </c>
      <c r="O20" s="172" t="e">
        <f t="shared" si="10"/>
        <v>#REF!</v>
      </c>
      <c r="P20" s="172" t="e">
        <f t="shared" si="10"/>
        <v>#REF!</v>
      </c>
      <c r="Q20" s="172" t="e">
        <f t="shared" si="10"/>
        <v>#REF!</v>
      </c>
      <c r="R20" s="172" t="e">
        <f t="shared" si="10"/>
        <v>#REF!</v>
      </c>
      <c r="S20" s="173" t="s">
        <v>229</v>
      </c>
      <c r="T20" s="174"/>
      <c r="U20" s="175"/>
    </row>
    <row r="21" spans="3:21" ht="10.5">
      <c r="C21" s="184" t="s">
        <v>304</v>
      </c>
      <c r="D21" s="185" t="e">
        <f>"H1 "&amp;ActYear_m1Y</f>
        <v>#REF!</v>
      </c>
      <c r="H21" s="263"/>
      <c r="I21" s="176" t="s">
        <v>305</v>
      </c>
      <c r="J21" s="177" t="e">
        <f t="shared" si="0"/>
        <v>#REF!</v>
      </c>
      <c r="K21" s="186" t="e">
        <f aca="true" t="shared" si="11" ref="K21:R21">K23&amp;$S21&amp;ActYear</f>
        <v>#REF!</v>
      </c>
      <c r="L21" s="186" t="e">
        <f t="shared" si="11"/>
        <v>#REF!</v>
      </c>
      <c r="M21" s="186" t="e">
        <f t="shared" si="11"/>
        <v>#REF!</v>
      </c>
      <c r="N21" s="186" t="e">
        <f t="shared" si="11"/>
        <v>#REF!</v>
      </c>
      <c r="O21" s="186" t="e">
        <f t="shared" si="11"/>
        <v>#REF!</v>
      </c>
      <c r="P21" s="186" t="e">
        <f t="shared" si="11"/>
        <v>#REF!</v>
      </c>
      <c r="Q21" s="186" t="e">
        <f t="shared" si="11"/>
        <v>#REF!</v>
      </c>
      <c r="R21" s="186" t="e">
        <f t="shared" si="11"/>
        <v>#REF!</v>
      </c>
      <c r="S21" s="179" t="s">
        <v>229</v>
      </c>
      <c r="T21" s="180"/>
      <c r="U21" s="181"/>
    </row>
    <row r="22" spans="8:21" ht="10.5" thickBot="1">
      <c r="H22" s="263"/>
      <c r="I22" s="170" t="s">
        <v>306</v>
      </c>
      <c r="J22" s="171" t="e">
        <f t="shared" si="0"/>
        <v>#REF!</v>
      </c>
      <c r="K22" s="172" t="e">
        <f aca="true" t="shared" si="12" ref="K22:R22">K23&amp;$S21&amp;ActY</f>
        <v>#REF!</v>
      </c>
      <c r="L22" s="172" t="e">
        <f t="shared" si="12"/>
        <v>#REF!</v>
      </c>
      <c r="M22" s="172" t="e">
        <f t="shared" si="12"/>
        <v>#REF!</v>
      </c>
      <c r="N22" s="172" t="e">
        <f t="shared" si="12"/>
        <v>#REF!</v>
      </c>
      <c r="O22" s="172" t="e">
        <f t="shared" si="12"/>
        <v>#REF!</v>
      </c>
      <c r="P22" s="172" t="e">
        <f t="shared" si="12"/>
        <v>#REF!</v>
      </c>
      <c r="Q22" s="172" t="e">
        <f t="shared" si="12"/>
        <v>#REF!</v>
      </c>
      <c r="R22" s="172" t="e">
        <f t="shared" si="12"/>
        <v>#REF!</v>
      </c>
      <c r="S22" s="173"/>
      <c r="T22" s="174"/>
      <c r="U22" s="175"/>
    </row>
    <row r="23" spans="3:21" ht="10.5">
      <c r="C23" s="184" t="s">
        <v>307</v>
      </c>
      <c r="D23" s="187" t="s">
        <v>308</v>
      </c>
      <c r="E23" s="188" t="s">
        <v>309</v>
      </c>
      <c r="F23" s="189" t="e">
        <f>IF(INDEX($D23:$E23,,SelLngNo)=0,"",INDEX($D23:$E23,,SelLngNo))&amp;" "&amp;ActYear</f>
        <v>#REF!</v>
      </c>
      <c r="H23" s="263"/>
      <c r="I23" s="176" t="s">
        <v>310</v>
      </c>
      <c r="J23" s="177" t="e">
        <f t="shared" si="0"/>
        <v>#REF!</v>
      </c>
      <c r="K23" s="179" t="s">
        <v>311</v>
      </c>
      <c r="L23" s="179" t="s">
        <v>312</v>
      </c>
      <c r="M23" s="179" t="s">
        <v>313</v>
      </c>
      <c r="N23" s="179" t="s">
        <v>314</v>
      </c>
      <c r="O23" s="179" t="s">
        <v>315</v>
      </c>
      <c r="P23" s="179" t="s">
        <v>316</v>
      </c>
      <c r="Q23" s="179" t="s">
        <v>317</v>
      </c>
      <c r="R23" s="179" t="s">
        <v>318</v>
      </c>
      <c r="S23" s="179"/>
      <c r="T23" s="180"/>
      <c r="U23" s="181"/>
    </row>
    <row r="24" spans="3:21" ht="10.5" thickBot="1">
      <c r="C24" s="184" t="s">
        <v>319</v>
      </c>
      <c r="D24" s="187" t="s">
        <v>308</v>
      </c>
      <c r="E24" s="188" t="s">
        <v>309</v>
      </c>
      <c r="F24" s="189" t="e">
        <f>IF(INDEX($D24:$E24,,SelLngNo)=0,"",INDEX($D24:$E24,,SelLngNo))&amp;" "&amp;ActYear_m1Y</f>
        <v>#REF!</v>
      </c>
      <c r="H24" s="264"/>
      <c r="I24" s="164" t="s">
        <v>320</v>
      </c>
      <c r="J24" s="165" t="e">
        <f t="shared" si="0"/>
        <v>#REF!</v>
      </c>
      <c r="K24" s="167" t="s">
        <v>311</v>
      </c>
      <c r="L24" s="167" t="s">
        <v>321</v>
      </c>
      <c r="M24" s="167" t="s">
        <v>322</v>
      </c>
      <c r="N24" s="167" t="s">
        <v>308</v>
      </c>
      <c r="O24" s="167" t="s">
        <v>315</v>
      </c>
      <c r="P24" s="167" t="s">
        <v>323</v>
      </c>
      <c r="Q24" s="167" t="s">
        <v>324</v>
      </c>
      <c r="R24" s="167" t="s">
        <v>309</v>
      </c>
      <c r="S24" s="167"/>
      <c r="T24" s="168"/>
      <c r="U24" s="169"/>
    </row>
    <row r="25" spans="3:21" ht="13.5" customHeight="1" thickTop="1">
      <c r="C25" s="184" t="s">
        <v>325</v>
      </c>
      <c r="D25" s="187" t="s">
        <v>308</v>
      </c>
      <c r="E25" s="188" t="s">
        <v>309</v>
      </c>
      <c r="F25" s="189" t="e">
        <f>IF(INDEX($D25:$E25,,SelLngNo)=0,"",INDEX($D25:$E25,,SelLngNo))</f>
        <v>#REF!</v>
      </c>
      <c r="H25" s="255" t="s">
        <v>326</v>
      </c>
      <c r="I25" s="190" t="s">
        <v>327</v>
      </c>
      <c r="J25" s="191" t="e">
        <f t="shared" si="0"/>
        <v>#REF!</v>
      </c>
      <c r="K25" s="192">
        <f>N9</f>
        <v>4</v>
      </c>
      <c r="L25" s="192">
        <f>K9</f>
        <v>1</v>
      </c>
      <c r="M25" s="192">
        <f>L9</f>
        <v>2</v>
      </c>
      <c r="N25" s="192">
        <f>M9</f>
        <v>3</v>
      </c>
      <c r="O25" s="192">
        <f>R9</f>
        <v>4</v>
      </c>
      <c r="P25" s="192">
        <f>O9</f>
        <v>1</v>
      </c>
      <c r="Q25" s="192">
        <f>P9</f>
        <v>2</v>
      </c>
      <c r="R25" s="192">
        <f>Q9</f>
        <v>3</v>
      </c>
      <c r="S25" s="192">
        <f aca="true" t="shared" si="13" ref="S25:S88">IF(S9="","",S9)</f>
      </c>
      <c r="T25" s="193"/>
      <c r="U25" s="194"/>
    </row>
    <row r="26" spans="3:21" ht="10.5">
      <c r="C26" s="184" t="s">
        <v>328</v>
      </c>
      <c r="D26" s="195" t="s">
        <v>293</v>
      </c>
      <c r="E26" s="196" t="s">
        <v>297</v>
      </c>
      <c r="F26" s="189" t="e">
        <f>IF(INDEX($D26:$E26,,SelLngNo)=0,"",INDEX($D26:$E26,,SelLngNo))</f>
        <v>#REF!</v>
      </c>
      <c r="H26" s="256"/>
      <c r="I26" s="164" t="s">
        <v>329</v>
      </c>
      <c r="J26" s="165" t="e">
        <f t="shared" si="0"/>
        <v>#REF!</v>
      </c>
      <c r="K26" s="166" t="str">
        <f aca="true" t="shared" si="14" ref="K26:R26">"Q"&amp;K25</f>
        <v>Q4</v>
      </c>
      <c r="L26" s="166" t="str">
        <f t="shared" si="14"/>
        <v>Q1</v>
      </c>
      <c r="M26" s="166" t="str">
        <f t="shared" si="14"/>
        <v>Q2</v>
      </c>
      <c r="N26" s="166" t="str">
        <f t="shared" si="14"/>
        <v>Q3</v>
      </c>
      <c r="O26" s="166" t="str">
        <f t="shared" si="14"/>
        <v>Q4</v>
      </c>
      <c r="P26" s="166" t="str">
        <f t="shared" si="14"/>
        <v>Q1</v>
      </c>
      <c r="Q26" s="166" t="str">
        <f t="shared" si="14"/>
        <v>Q2</v>
      </c>
      <c r="R26" s="166" t="str">
        <f t="shared" si="14"/>
        <v>Q3</v>
      </c>
      <c r="S26" s="166">
        <f t="shared" si="13"/>
      </c>
      <c r="T26" s="197"/>
      <c r="U26" s="198"/>
    </row>
    <row r="27" spans="3:21" ht="10.5">
      <c r="C27" s="184" t="s">
        <v>330</v>
      </c>
      <c r="D27" s="199" t="e">
        <f>DATE(ActYear,12,31)</f>
        <v>#REF!</v>
      </c>
      <c r="E27" s="200" t="e">
        <f>DATE(ActYear,12,31)</f>
        <v>#REF!</v>
      </c>
      <c r="F27" s="201" t="e">
        <f aca="true" t="shared" si="15" ref="F27:F32">IF(INDEX($D27:$E27,,SelLngNo)=0,"",INDEX($D27:$E27,,SelLngNo))</f>
        <v>#REF!</v>
      </c>
      <c r="H27" s="256"/>
      <c r="I27" s="164" t="s">
        <v>331</v>
      </c>
      <c r="J27" s="165" t="e">
        <f t="shared" si="0"/>
        <v>#REF!</v>
      </c>
      <c r="K27" s="166" t="e">
        <f>K26&amp;$S27&amp;ActYear_m1Y</f>
        <v>#REF!</v>
      </c>
      <c r="L27" s="166" t="e">
        <f>L26&amp;$S27&amp;SelYear</f>
        <v>#REF!</v>
      </c>
      <c r="M27" s="166" t="e">
        <f>M26&amp;$S27&amp;SelYear</f>
        <v>#REF!</v>
      </c>
      <c r="N27" s="166" t="e">
        <f>N26&amp;$S27&amp;SelYear</f>
        <v>#REF!</v>
      </c>
      <c r="O27" s="166" t="e">
        <f>O26&amp;$S27&amp;ActYear_m1Y</f>
        <v>#REF!</v>
      </c>
      <c r="P27" s="166" t="e">
        <f>P26&amp;$S27&amp;SelYear</f>
        <v>#REF!</v>
      </c>
      <c r="Q27" s="166" t="e">
        <f>Q26&amp;$S27&amp;SelYear</f>
        <v>#REF!</v>
      </c>
      <c r="R27" s="166" t="e">
        <f>R26&amp;$S27&amp;SelYear</f>
        <v>#REF!</v>
      </c>
      <c r="S27" s="166" t="str">
        <f t="shared" si="13"/>
        <v> </v>
      </c>
      <c r="T27" s="197"/>
      <c r="U27" s="198"/>
    </row>
    <row r="28" spans="3:21" ht="10.5">
      <c r="C28" s="184" t="s">
        <v>332</v>
      </c>
      <c r="D28" s="187" t="s">
        <v>308</v>
      </c>
      <c r="E28" s="188" t="s">
        <v>309</v>
      </c>
      <c r="F28" s="189" t="e">
        <f t="shared" si="15"/>
        <v>#REF!</v>
      </c>
      <c r="H28" s="256"/>
      <c r="I28" s="164" t="s">
        <v>333</v>
      </c>
      <c r="J28" s="165" t="e">
        <f t="shared" si="0"/>
        <v>#REF!</v>
      </c>
      <c r="K28" s="166" t="e">
        <f>K26&amp;$S28&amp;ActY_m1Y</f>
        <v>#REF!</v>
      </c>
      <c r="L28" s="166" t="e">
        <f>L26&amp;$S28&amp;ActY</f>
        <v>#REF!</v>
      </c>
      <c r="M28" s="166" t="e">
        <f>M26&amp;$S28&amp;ActY</f>
        <v>#REF!</v>
      </c>
      <c r="N28" s="166" t="e">
        <f>N26&amp;$S28&amp;ActY</f>
        <v>#REF!</v>
      </c>
      <c r="O28" s="166" t="e">
        <f>O26&amp;$S28&amp;ActY_m1Y</f>
        <v>#REF!</v>
      </c>
      <c r="P28" s="166" t="e">
        <f>P26&amp;$S28&amp;ActY</f>
        <v>#REF!</v>
      </c>
      <c r="Q28" s="166" t="e">
        <f>Q26&amp;$S28&amp;ActY</f>
        <v>#REF!</v>
      </c>
      <c r="R28" s="166" t="e">
        <f>R26&amp;$S28&amp;ActY</f>
        <v>#REF!</v>
      </c>
      <c r="S28" s="166" t="str">
        <f t="shared" si="13"/>
        <v> </v>
      </c>
      <c r="T28" s="197"/>
      <c r="U28" s="198"/>
    </row>
    <row r="29" spans="3:21" ht="10.5">
      <c r="C29" s="184" t="s">
        <v>334</v>
      </c>
      <c r="D29" s="187" t="s">
        <v>308</v>
      </c>
      <c r="E29" s="188" t="s">
        <v>309</v>
      </c>
      <c r="F29" s="189" t="e">
        <f t="shared" si="15"/>
        <v>#REF!</v>
      </c>
      <c r="H29" s="256"/>
      <c r="I29" s="164" t="s">
        <v>335</v>
      </c>
      <c r="J29" s="165" t="e">
        <f t="shared" si="0"/>
        <v>#REF!</v>
      </c>
      <c r="K29" s="166" t="e">
        <f>K25&amp;$S29&amp;ActYear_m1Y</f>
        <v>#REF!</v>
      </c>
      <c r="L29" s="166" t="e">
        <f>L25&amp;$S29&amp;SelYear</f>
        <v>#REF!</v>
      </c>
      <c r="M29" s="166" t="e">
        <f>M25&amp;$S29&amp;SelYear</f>
        <v>#REF!</v>
      </c>
      <c r="N29" s="166" t="e">
        <f>N25&amp;$S29&amp;SelYear</f>
        <v>#REF!</v>
      </c>
      <c r="O29" s="166" t="e">
        <f>O25&amp;$S29&amp;ActYear_m1Y</f>
        <v>#REF!</v>
      </c>
      <c r="P29" s="166" t="e">
        <f>P25&amp;$S29&amp;ActYear</f>
        <v>#REF!</v>
      </c>
      <c r="Q29" s="166" t="e">
        <f>Q25&amp;$S29&amp;SelYear</f>
        <v>#REF!</v>
      </c>
      <c r="R29" s="166" t="e">
        <f>R25&amp;$S29&amp;SelYear</f>
        <v>#REF!</v>
      </c>
      <c r="S29" s="166" t="str">
        <f t="shared" si="13"/>
        <v> </v>
      </c>
      <c r="T29" s="197"/>
      <c r="U29" s="198"/>
    </row>
    <row r="30" spans="3:21" ht="10.5" thickBot="1">
      <c r="C30" s="184" t="s">
        <v>336</v>
      </c>
      <c r="D30" s="199" t="e">
        <f>DATE(ActYear_m1Y,12,31)</f>
        <v>#REF!</v>
      </c>
      <c r="E30" s="200" t="e">
        <f>DATE(ActYear_m1Y,12,31)</f>
        <v>#REF!</v>
      </c>
      <c r="F30" s="201" t="e">
        <f t="shared" si="15"/>
        <v>#REF!</v>
      </c>
      <c r="H30" s="256"/>
      <c r="I30" s="170" t="s">
        <v>337</v>
      </c>
      <c r="J30" s="171" t="e">
        <f t="shared" si="0"/>
        <v>#REF!</v>
      </c>
      <c r="K30" s="172" t="e">
        <f>K25&amp;$S30&amp;ActY_m1Y</f>
        <v>#REF!</v>
      </c>
      <c r="L30" s="172" t="e">
        <f>L25&amp;$S30&amp;ActY</f>
        <v>#REF!</v>
      </c>
      <c r="M30" s="172" t="e">
        <f>M25&amp;$S30&amp;ActY</f>
        <v>#REF!</v>
      </c>
      <c r="N30" s="172" t="e">
        <f>N25&amp;$S30&amp;ActY</f>
        <v>#REF!</v>
      </c>
      <c r="O30" s="172" t="e">
        <f>O25&amp;$S30&amp;ActY_m1Y</f>
        <v>#REF!</v>
      </c>
      <c r="P30" s="172" t="e">
        <f>P25&amp;$S30&amp;ActY</f>
        <v>#REF!</v>
      </c>
      <c r="Q30" s="172" t="e">
        <f>Q25&amp;$S30&amp;ActY</f>
        <v>#REF!</v>
      </c>
      <c r="R30" s="172" t="e">
        <f>R25&amp;$S30&amp;ActY</f>
        <v>#REF!</v>
      </c>
      <c r="S30" s="172" t="str">
        <f t="shared" si="13"/>
        <v> </v>
      </c>
      <c r="T30" s="202"/>
      <c r="U30" s="203"/>
    </row>
    <row r="31" spans="3:21" ht="10.5">
      <c r="C31" s="184" t="s">
        <v>338</v>
      </c>
      <c r="D31" s="199" t="e">
        <f>DATE(ActYear_m2Y,12,31)</f>
        <v>#REF!</v>
      </c>
      <c r="E31" s="200" t="e">
        <f>DATE(ActYear_m2Y,12,31)</f>
        <v>#REF!</v>
      </c>
      <c r="F31" s="201" t="e">
        <f t="shared" si="15"/>
        <v>#REF!</v>
      </c>
      <c r="H31" s="256"/>
      <c r="I31" s="176" t="s">
        <v>339</v>
      </c>
      <c r="J31" s="177" t="e">
        <f t="shared" si="0"/>
        <v>#REF!</v>
      </c>
      <c r="K31" s="204" t="str">
        <f>N15</f>
        <v>12</v>
      </c>
      <c r="L31" s="204" t="str">
        <f>K15</f>
        <v>03</v>
      </c>
      <c r="M31" s="204" t="str">
        <f>L15</f>
        <v>06</v>
      </c>
      <c r="N31" s="204" t="str">
        <f>M15</f>
        <v>09</v>
      </c>
      <c r="O31" s="204" t="str">
        <f>R15</f>
        <v>12</v>
      </c>
      <c r="P31" s="204" t="str">
        <f>O15</f>
        <v>03</v>
      </c>
      <c r="Q31" s="204" t="str">
        <f>P15</f>
        <v>06</v>
      </c>
      <c r="R31" s="204" t="str">
        <f>Q15</f>
        <v>09</v>
      </c>
      <c r="S31" s="186">
        <f t="shared" si="13"/>
      </c>
      <c r="T31" s="205"/>
      <c r="U31" s="206"/>
    </row>
    <row r="32" spans="3:21" ht="10.5" thickBot="1">
      <c r="C32" s="184" t="s">
        <v>340</v>
      </c>
      <c r="D32" s="199" t="e">
        <f>DATE(ActYear_m3Y,12,31)</f>
        <v>#REF!</v>
      </c>
      <c r="E32" s="200" t="e">
        <f>DATE(ActYear_m3Y,12,31)</f>
        <v>#REF!</v>
      </c>
      <c r="F32" s="201" t="e">
        <f t="shared" si="15"/>
        <v>#REF!</v>
      </c>
      <c r="H32" s="256"/>
      <c r="I32" s="170" t="s">
        <v>341</v>
      </c>
      <c r="J32" s="171" t="e">
        <f t="shared" si="0"/>
        <v>#REF!</v>
      </c>
      <c r="K32" s="172" t="e">
        <f>ActYear_m1Y&amp;$S32&amp;K31</f>
        <v>#REF!</v>
      </c>
      <c r="L32" s="172" t="e">
        <f>ActYear&amp;$S32&amp;L31</f>
        <v>#REF!</v>
      </c>
      <c r="M32" s="172" t="e">
        <f>ActYear&amp;$S32&amp;M31</f>
        <v>#REF!</v>
      </c>
      <c r="N32" s="172" t="e">
        <f>ActYear&amp;$S32&amp;N31</f>
        <v>#REF!</v>
      </c>
      <c r="O32" s="172" t="e">
        <f>ActYear_m1Y&amp;$S32&amp;O31</f>
        <v>#REF!</v>
      </c>
      <c r="P32" s="172" t="e">
        <f>ActYear&amp;$S32&amp;P31</f>
        <v>#REF!</v>
      </c>
      <c r="Q32" s="172" t="e">
        <f>ActYear&amp;$S32&amp;Q31</f>
        <v>#REF!</v>
      </c>
      <c r="R32" s="172" t="e">
        <f>ActYear&amp;$S32&amp;R31</f>
        <v>#REF!</v>
      </c>
      <c r="S32" s="172" t="str">
        <f t="shared" si="13"/>
        <v> </v>
      </c>
      <c r="T32" s="202"/>
      <c r="U32" s="203"/>
    </row>
    <row r="33" spans="4:21" ht="10.5">
      <c r="D33" s="207"/>
      <c r="F33" s="207"/>
      <c r="H33" s="256"/>
      <c r="I33" s="176" t="s">
        <v>342</v>
      </c>
      <c r="J33" s="177" t="e">
        <f t="shared" si="0"/>
        <v>#REF!</v>
      </c>
      <c r="K33" s="186" t="str">
        <f>N17</f>
        <v>31 dec.</v>
      </c>
      <c r="L33" s="186" t="str">
        <f>K17</f>
        <v>31 mar.</v>
      </c>
      <c r="M33" s="186" t="str">
        <f>L17</f>
        <v>30 jun.</v>
      </c>
      <c r="N33" s="186" t="str">
        <f>M17</f>
        <v>30 sep.</v>
      </c>
      <c r="O33" s="186" t="str">
        <f>R17</f>
        <v>Dec. 31</v>
      </c>
      <c r="P33" s="186" t="str">
        <f>O17</f>
        <v>Mar. 31</v>
      </c>
      <c r="Q33" s="186" t="str">
        <f>P17</f>
        <v>Jun. 30</v>
      </c>
      <c r="R33" s="186" t="str">
        <f>Q17</f>
        <v>Sep. 30</v>
      </c>
      <c r="S33" s="186">
        <f t="shared" si="13"/>
      </c>
      <c r="T33" s="205"/>
      <c r="U33" s="206"/>
    </row>
    <row r="34" spans="3:21" ht="10.5">
      <c r="C34" s="184" t="s">
        <v>343</v>
      </c>
      <c r="D34" s="187" t="s">
        <v>242</v>
      </c>
      <c r="E34" s="188" t="s">
        <v>246</v>
      </c>
      <c r="F34" s="189" t="e">
        <f>IF(INDEX($D34:$E34,,SelLngNo)=0,"",INDEX($D34:$E34,,SelLngNo))</f>
        <v>#REF!</v>
      </c>
      <c r="H34" s="256"/>
      <c r="I34" s="164" t="s">
        <v>344</v>
      </c>
      <c r="J34" s="182" t="e">
        <f t="shared" si="0"/>
        <v>#REF!</v>
      </c>
      <c r="K34" s="183" t="e">
        <f>_XLL.SLUTMÅNAD(DATE(ActYear_m1Y,K31,1),0)</f>
        <v>#REF!</v>
      </c>
      <c r="L34" s="183" t="e">
        <f>_XLL.SLUTMÅNAD(DATE(ActYear,L31,1),0)</f>
        <v>#REF!</v>
      </c>
      <c r="M34" s="183" t="e">
        <f>_XLL.SLUTMÅNAD(DATE(ActYear,M31,1),0)</f>
        <v>#REF!</v>
      </c>
      <c r="N34" s="183" t="e">
        <f>_XLL.SLUTMÅNAD(DATE(ActYear,N31,1),0)</f>
        <v>#REF!</v>
      </c>
      <c r="O34" s="183" t="e">
        <f>_XLL.SLUTMÅNAD(DATE(ActYear_m1Y,O31,1),0)</f>
        <v>#REF!</v>
      </c>
      <c r="P34" s="183" t="e">
        <f>_XLL.SLUTMÅNAD(DATE(ActYear,P31,1),0)</f>
        <v>#REF!</v>
      </c>
      <c r="Q34" s="183" t="e">
        <f>_XLL.SLUTMÅNAD(DATE(ActYear,Q31,1),0)</f>
        <v>#REF!</v>
      </c>
      <c r="R34" s="183" t="e">
        <f>_XLL.SLUTMÅNAD(DATE(ActYear,R31,1),0)</f>
        <v>#REF!</v>
      </c>
      <c r="S34" s="166">
        <f t="shared" si="13"/>
      </c>
      <c r="T34" s="197"/>
      <c r="U34" s="198"/>
    </row>
    <row r="35" spans="3:21" ht="10.5">
      <c r="C35" s="184" t="s">
        <v>345</v>
      </c>
      <c r="D35" s="187" t="s">
        <v>346</v>
      </c>
      <c r="E35" s="188" t="s">
        <v>4</v>
      </c>
      <c r="F35" s="189" t="e">
        <f>IF(INDEX($D35:$E35,,SelLngNo)=0,"",INDEX($D35:$E35,,SelLngNo))</f>
        <v>#REF!</v>
      </c>
      <c r="H35" s="256"/>
      <c r="I35" s="164" t="s">
        <v>347</v>
      </c>
      <c r="J35" s="165" t="e">
        <f t="shared" si="0"/>
        <v>#REF!</v>
      </c>
      <c r="K35" s="166" t="e">
        <f>K33&amp;$S35&amp;ActYear_m1Y</f>
        <v>#REF!</v>
      </c>
      <c r="L35" s="166" t="e">
        <f>L33&amp;$S35&amp;ActYear</f>
        <v>#REF!</v>
      </c>
      <c r="M35" s="166" t="e">
        <f>M33&amp;$S35&amp;ActYear</f>
        <v>#REF!</v>
      </c>
      <c r="N35" s="166" t="e">
        <f>N33&amp;$S35&amp;ActYear</f>
        <v>#REF!</v>
      </c>
      <c r="O35" s="166" t="e">
        <f>O33&amp;","&amp;$S35&amp;ActYear_m1Y</f>
        <v>#REF!</v>
      </c>
      <c r="P35" s="166" t="e">
        <f>P33&amp;","&amp;$S35&amp;ActYear</f>
        <v>#REF!</v>
      </c>
      <c r="Q35" s="166" t="e">
        <f>Q33&amp;","&amp;$S35&amp;ActYear</f>
        <v>#REF!</v>
      </c>
      <c r="R35" s="166" t="e">
        <f>R33&amp;","&amp;$S35&amp;ActYear</f>
        <v>#REF!</v>
      </c>
      <c r="S35" s="166" t="str">
        <f t="shared" si="13"/>
        <v> </v>
      </c>
      <c r="T35" s="197"/>
      <c r="U35" s="198"/>
    </row>
    <row r="36" spans="8:21" ht="10.5" thickBot="1">
      <c r="H36" s="256"/>
      <c r="I36" s="170" t="s">
        <v>348</v>
      </c>
      <c r="J36" s="171" t="e">
        <f t="shared" si="0"/>
        <v>#REF!</v>
      </c>
      <c r="K36" s="172" t="e">
        <f>K33&amp;$S36&amp;ActY_m1Y</f>
        <v>#REF!</v>
      </c>
      <c r="L36" s="172" t="e">
        <f>L33&amp;$S36&amp;ActY</f>
        <v>#REF!</v>
      </c>
      <c r="M36" s="172" t="e">
        <f>M33&amp;$S36&amp;ActY</f>
        <v>#REF!</v>
      </c>
      <c r="N36" s="172" t="e">
        <f>N33&amp;$S36&amp;ActY</f>
        <v>#REF!</v>
      </c>
      <c r="O36" s="172" t="e">
        <f>O33&amp;$S36&amp;ActY_m1Y</f>
        <v>#REF!</v>
      </c>
      <c r="P36" s="172" t="e">
        <f>P33&amp;$S36&amp;ActY</f>
        <v>#REF!</v>
      </c>
      <c r="Q36" s="172" t="e">
        <f>Q33&amp;$S36&amp;ActY</f>
        <v>#REF!</v>
      </c>
      <c r="R36" s="172" t="e">
        <f>R33&amp;$S36&amp;ActY</f>
        <v>#REF!</v>
      </c>
      <c r="S36" s="172" t="str">
        <f>IF(S20="","",S20)</f>
        <v> </v>
      </c>
      <c r="T36" s="202"/>
      <c r="U36" s="203"/>
    </row>
    <row r="37" spans="3:21" ht="10.5">
      <c r="C37" s="184" t="s">
        <v>349</v>
      </c>
      <c r="D37" s="185" t="e">
        <f>RIGHT(ActQ_Y,2)&amp;TEXT(ActQBrDate,"MM")&amp;"AQ"</f>
        <v>#REF!</v>
      </c>
      <c r="H37" s="256"/>
      <c r="I37" s="176" t="s">
        <v>350</v>
      </c>
      <c r="J37" s="177" t="e">
        <f t="shared" si="0"/>
        <v>#REF!</v>
      </c>
      <c r="K37" s="186" t="e">
        <f>K39&amp;$S37&amp;ActYear_m1Y</f>
        <v>#REF!</v>
      </c>
      <c r="L37" s="186" t="e">
        <f>L39&amp;$S37&amp;ActYear</f>
        <v>#REF!</v>
      </c>
      <c r="M37" s="186" t="e">
        <f>M39&amp;$S37&amp;ActYear</f>
        <v>#REF!</v>
      </c>
      <c r="N37" s="186" t="e">
        <f>N39&amp;$S37&amp;ActYear</f>
        <v>#REF!</v>
      </c>
      <c r="O37" s="186" t="e">
        <f>O39&amp;$S37&amp;ActYear_m1Y</f>
        <v>#REF!</v>
      </c>
      <c r="P37" s="186" t="e">
        <f>P39&amp;$S37&amp;ActYear</f>
        <v>#REF!</v>
      </c>
      <c r="Q37" s="186" t="e">
        <f>Q39&amp;$S37&amp;ActYear</f>
        <v>#REF!</v>
      </c>
      <c r="R37" s="186" t="e">
        <f>R39&amp;$S37&amp;ActYear</f>
        <v>#REF!</v>
      </c>
      <c r="S37" s="186" t="str">
        <f t="shared" si="13"/>
        <v> </v>
      </c>
      <c r="T37" s="205"/>
      <c r="U37" s="206"/>
    </row>
    <row r="38" spans="3:21" ht="10.5" thickBot="1">
      <c r="C38" s="184" t="s">
        <v>351</v>
      </c>
      <c r="D38" s="185" t="e">
        <f>RIGHT(m1Q_Q_Y,2)&amp;TEXT(m1Q_QBrDate,"MM")&amp;"AQ"</f>
        <v>#REF!</v>
      </c>
      <c r="H38" s="256"/>
      <c r="I38" s="170" t="s">
        <v>352</v>
      </c>
      <c r="J38" s="171" t="e">
        <f t="shared" si="0"/>
        <v>#REF!</v>
      </c>
      <c r="K38" s="172" t="e">
        <f>K39&amp;$S37&amp;ActY_m1Y</f>
        <v>#REF!</v>
      </c>
      <c r="L38" s="172" t="e">
        <f>L39&amp;$S37&amp;ActY</f>
        <v>#REF!</v>
      </c>
      <c r="M38" s="172" t="e">
        <f>M39&amp;$S37&amp;ActY</f>
        <v>#REF!</v>
      </c>
      <c r="N38" s="172" t="e">
        <f>N39&amp;$S37&amp;ActY</f>
        <v>#REF!</v>
      </c>
      <c r="O38" s="172" t="e">
        <f>O39&amp;$S37&amp;ActY_m1Y</f>
        <v>#REF!</v>
      </c>
      <c r="P38" s="172" t="e">
        <f>P39&amp;$S37&amp;ActY</f>
        <v>#REF!</v>
      </c>
      <c r="Q38" s="172" t="e">
        <f>Q39&amp;$S37&amp;ActY</f>
        <v>#REF!</v>
      </c>
      <c r="R38" s="172" t="e">
        <f>R39&amp;$S37&amp;ActY</f>
        <v>#REF!</v>
      </c>
      <c r="S38" s="172">
        <f t="shared" si="13"/>
      </c>
      <c r="T38" s="202"/>
      <c r="U38" s="203"/>
    </row>
    <row r="39" spans="3:21" ht="10.5">
      <c r="C39" s="184" t="s">
        <v>353</v>
      </c>
      <c r="D39" s="185" t="e">
        <f>RIGHT(m2Q_Q_Y,2)&amp;TEXT(m2Q_QBrDate,"MM")&amp;"AQ"</f>
        <v>#REF!</v>
      </c>
      <c r="H39" s="256"/>
      <c r="I39" s="176" t="s">
        <v>354</v>
      </c>
      <c r="J39" s="177" t="e">
        <f aca="true" t="shared" si="16" ref="J39:J70">INDEX(K39:R39,,SelectIdx)</f>
        <v>#REF!</v>
      </c>
      <c r="K39" s="186" t="str">
        <f>N23</f>
        <v>okt-dec</v>
      </c>
      <c r="L39" s="186" t="str">
        <f aca="true" t="shared" si="17" ref="L39:N41">K23</f>
        <v>jan-mar</v>
      </c>
      <c r="M39" s="186" t="str">
        <f t="shared" si="17"/>
        <v>apr-jun</v>
      </c>
      <c r="N39" s="186" t="str">
        <f t="shared" si="17"/>
        <v>jul-sep</v>
      </c>
      <c r="O39" s="186" t="str">
        <f>R23</f>
        <v>Oct-Dec</v>
      </c>
      <c r="P39" s="186" t="str">
        <f aca="true" t="shared" si="18" ref="P39:R41">O23</f>
        <v>Jan-Mar</v>
      </c>
      <c r="Q39" s="186" t="str">
        <f t="shared" si="18"/>
        <v>Apr-Jun</v>
      </c>
      <c r="R39" s="186" t="str">
        <f t="shared" si="18"/>
        <v>Jul-Sep</v>
      </c>
      <c r="S39" s="186">
        <f t="shared" si="13"/>
      </c>
      <c r="T39" s="205"/>
      <c r="U39" s="206"/>
    </row>
    <row r="40" spans="3:21" ht="10.5" thickBot="1">
      <c r="C40" s="184" t="s">
        <v>355</v>
      </c>
      <c r="D40" s="185" t="e">
        <f>RIGHT(m3Q_Q_Y,2)&amp;TEXT(m3Q_QBrDate,"MM")&amp;"AQ"</f>
        <v>#REF!</v>
      </c>
      <c r="H40" s="257"/>
      <c r="I40" s="208" t="s">
        <v>356</v>
      </c>
      <c r="J40" s="209" t="e">
        <f t="shared" si="16"/>
        <v>#REF!</v>
      </c>
      <c r="K40" s="210" t="str">
        <f>N24</f>
        <v>jan-dec</v>
      </c>
      <c r="L40" s="210" t="str">
        <f t="shared" si="17"/>
        <v>jan-mar</v>
      </c>
      <c r="M40" s="210" t="str">
        <f t="shared" si="17"/>
        <v>jan-jun</v>
      </c>
      <c r="N40" s="210" t="str">
        <f t="shared" si="17"/>
        <v>jan-sep</v>
      </c>
      <c r="O40" s="210" t="str">
        <f>R24</f>
        <v>Jan-Dec</v>
      </c>
      <c r="P40" s="210" t="str">
        <f t="shared" si="18"/>
        <v>Jan-Mar</v>
      </c>
      <c r="Q40" s="210" t="str">
        <f t="shared" si="18"/>
        <v>Jan-Jun</v>
      </c>
      <c r="R40" s="210" t="str">
        <f t="shared" si="18"/>
        <v>Jan-Sep</v>
      </c>
      <c r="S40" s="210">
        <f t="shared" si="13"/>
      </c>
      <c r="T40" s="211"/>
      <c r="U40" s="212"/>
    </row>
    <row r="41" spans="3:21" ht="13.5" customHeight="1" thickTop="1">
      <c r="C41" s="184" t="s">
        <v>357</v>
      </c>
      <c r="D41" s="185" t="e">
        <f>RIGHT(m4Q_Q_Y,2)&amp;TEXT(m4Q_QBrDate,"MM")&amp;"AQ"</f>
        <v>#REF!</v>
      </c>
      <c r="H41" s="255" t="s">
        <v>358</v>
      </c>
      <c r="I41" s="190" t="s">
        <v>359</v>
      </c>
      <c r="J41" s="191" t="e">
        <f t="shared" si="16"/>
        <v>#REF!</v>
      </c>
      <c r="K41" s="192">
        <f>N25</f>
        <v>3</v>
      </c>
      <c r="L41" s="192">
        <f t="shared" si="17"/>
        <v>4</v>
      </c>
      <c r="M41" s="192">
        <f t="shared" si="17"/>
        <v>1</v>
      </c>
      <c r="N41" s="192">
        <f t="shared" si="17"/>
        <v>2</v>
      </c>
      <c r="O41" s="192">
        <f>R25</f>
        <v>3</v>
      </c>
      <c r="P41" s="192">
        <f t="shared" si="18"/>
        <v>4</v>
      </c>
      <c r="Q41" s="192">
        <f t="shared" si="18"/>
        <v>1</v>
      </c>
      <c r="R41" s="192">
        <f t="shared" si="18"/>
        <v>2</v>
      </c>
      <c r="S41" s="192">
        <f t="shared" si="13"/>
      </c>
      <c r="T41" s="193"/>
      <c r="U41" s="194"/>
    </row>
    <row r="42" spans="3:21" ht="10.5">
      <c r="C42" s="184" t="s">
        <v>360</v>
      </c>
      <c r="D42" s="185" t="e">
        <f>RIGHT(m5Q_Q_Y,2)&amp;TEXT(m5Q_QBrDate,"MM")&amp;"AQ"</f>
        <v>#REF!</v>
      </c>
      <c r="H42" s="256"/>
      <c r="I42" s="164" t="s">
        <v>361</v>
      </c>
      <c r="J42" s="165" t="e">
        <f t="shared" si="16"/>
        <v>#REF!</v>
      </c>
      <c r="K42" s="166" t="str">
        <f aca="true" t="shared" si="19" ref="K42:R42">"Q"&amp;K41</f>
        <v>Q3</v>
      </c>
      <c r="L42" s="166" t="str">
        <f t="shared" si="19"/>
        <v>Q4</v>
      </c>
      <c r="M42" s="166" t="str">
        <f t="shared" si="19"/>
        <v>Q1</v>
      </c>
      <c r="N42" s="166" t="str">
        <f t="shared" si="19"/>
        <v>Q2</v>
      </c>
      <c r="O42" s="166" t="str">
        <f t="shared" si="19"/>
        <v>Q3</v>
      </c>
      <c r="P42" s="166" t="str">
        <f t="shared" si="19"/>
        <v>Q4</v>
      </c>
      <c r="Q42" s="166" t="str">
        <f t="shared" si="19"/>
        <v>Q1</v>
      </c>
      <c r="R42" s="166" t="str">
        <f t="shared" si="19"/>
        <v>Q2</v>
      </c>
      <c r="S42" s="166">
        <f t="shared" si="13"/>
      </c>
      <c r="T42" s="197"/>
      <c r="U42" s="198"/>
    </row>
    <row r="43" spans="3:21" ht="10.5">
      <c r="C43" s="184" t="s">
        <v>362</v>
      </c>
      <c r="D43" s="185" t="e">
        <f>RIGHT(m6Q_Q_Y,2)&amp;TEXT(m6Q_QBrDate,"MM")&amp;"AQ"</f>
        <v>#REF!</v>
      </c>
      <c r="H43" s="256"/>
      <c r="I43" s="164" t="s">
        <v>363</v>
      </c>
      <c r="J43" s="165" t="e">
        <f t="shared" si="16"/>
        <v>#REF!</v>
      </c>
      <c r="K43" s="166" t="e">
        <f>K42&amp;$S43&amp;ActYear_m1Y</f>
        <v>#REF!</v>
      </c>
      <c r="L43" s="166" t="e">
        <f aca="true" t="shared" si="20" ref="L43:N57">K27</f>
        <v>#REF!</v>
      </c>
      <c r="M43" s="166" t="e">
        <f t="shared" si="20"/>
        <v>#REF!</v>
      </c>
      <c r="N43" s="166" t="e">
        <f t="shared" si="20"/>
        <v>#REF!</v>
      </c>
      <c r="O43" s="166" t="e">
        <f>O42&amp;$S43&amp;ActYear_m1Y</f>
        <v>#REF!</v>
      </c>
      <c r="P43" s="166" t="e">
        <f>O27</f>
        <v>#REF!</v>
      </c>
      <c r="Q43" s="166" t="e">
        <f>P27</f>
        <v>#REF!</v>
      </c>
      <c r="R43" s="166" t="e">
        <f>Q27</f>
        <v>#REF!</v>
      </c>
      <c r="S43" s="166" t="str">
        <f t="shared" si="13"/>
        <v> </v>
      </c>
      <c r="T43" s="197"/>
      <c r="U43" s="198"/>
    </row>
    <row r="44" spans="3:21" ht="10.5">
      <c r="C44" s="184" t="s">
        <v>364</v>
      </c>
      <c r="D44" s="185" t="e">
        <f>RIGHT(m7Q_Q_Y,2)&amp;TEXT(m7Q_QBrDate,"MM")&amp;"AQ"</f>
        <v>#REF!</v>
      </c>
      <c r="H44" s="256"/>
      <c r="I44" s="164" t="s">
        <v>365</v>
      </c>
      <c r="J44" s="165" t="e">
        <f t="shared" si="16"/>
        <v>#REF!</v>
      </c>
      <c r="K44" s="166" t="e">
        <f>K42&amp;$S44&amp;ActY_m1Y</f>
        <v>#REF!</v>
      </c>
      <c r="L44" s="166" t="e">
        <f t="shared" si="20"/>
        <v>#REF!</v>
      </c>
      <c r="M44" s="166" t="e">
        <f t="shared" si="20"/>
        <v>#REF!</v>
      </c>
      <c r="N44" s="166" t="e">
        <f t="shared" si="20"/>
        <v>#REF!</v>
      </c>
      <c r="O44" s="166" t="e">
        <f>O42&amp;$S44&amp;ActY_m1Y</f>
        <v>#REF!</v>
      </c>
      <c r="P44" s="166" t="e">
        <f>O28</f>
        <v>#REF!</v>
      </c>
      <c r="Q44" s="166" t="e">
        <f>P27</f>
        <v>#REF!</v>
      </c>
      <c r="R44" s="166" t="e">
        <f>Q27</f>
        <v>#REF!</v>
      </c>
      <c r="S44" s="166" t="str">
        <f t="shared" si="13"/>
        <v> </v>
      </c>
      <c r="T44" s="197"/>
      <c r="U44" s="198"/>
    </row>
    <row r="45" spans="3:21" ht="10.5">
      <c r="C45" s="184" t="s">
        <v>366</v>
      </c>
      <c r="D45" s="185" t="e">
        <f>RIGHT(m8Q_Q_Y,2)&amp;TEXT(m8Q_QBrDate,"MM")&amp;"AQ"</f>
        <v>#REF!</v>
      </c>
      <c r="H45" s="256"/>
      <c r="I45" s="164" t="s">
        <v>367</v>
      </c>
      <c r="J45" s="165" t="e">
        <f t="shared" si="16"/>
        <v>#REF!</v>
      </c>
      <c r="K45" s="166" t="e">
        <f>K41&amp;$S45&amp;ActYear_m1Y</f>
        <v>#REF!</v>
      </c>
      <c r="L45" s="166" t="e">
        <f t="shared" si="20"/>
        <v>#REF!</v>
      </c>
      <c r="M45" s="166" t="e">
        <f t="shared" si="20"/>
        <v>#REF!</v>
      </c>
      <c r="N45" s="166" t="e">
        <f t="shared" si="20"/>
        <v>#REF!</v>
      </c>
      <c r="O45" s="166" t="e">
        <f>O41&amp;$S45&amp;ActYear_m1Y</f>
        <v>#REF!</v>
      </c>
      <c r="P45" s="166" t="e">
        <f>O29</f>
        <v>#REF!</v>
      </c>
      <c r="Q45" s="166" t="e">
        <f aca="true" t="shared" si="21" ref="Q45:R47">P29</f>
        <v>#REF!</v>
      </c>
      <c r="R45" s="166" t="e">
        <f t="shared" si="21"/>
        <v>#REF!</v>
      </c>
      <c r="S45" s="166" t="str">
        <f t="shared" si="13"/>
        <v> </v>
      </c>
      <c r="T45" s="197"/>
      <c r="U45" s="198"/>
    </row>
    <row r="46" spans="8:21" ht="10.5" thickBot="1">
      <c r="H46" s="256"/>
      <c r="I46" s="170" t="s">
        <v>368</v>
      </c>
      <c r="J46" s="171" t="e">
        <f t="shared" si="16"/>
        <v>#REF!</v>
      </c>
      <c r="K46" s="172" t="e">
        <f>K41&amp;$S46&amp;ActY_m1Y</f>
        <v>#REF!</v>
      </c>
      <c r="L46" s="172" t="e">
        <f t="shared" si="20"/>
        <v>#REF!</v>
      </c>
      <c r="M46" s="172" t="e">
        <f t="shared" si="20"/>
        <v>#REF!</v>
      </c>
      <c r="N46" s="172" t="e">
        <f t="shared" si="20"/>
        <v>#REF!</v>
      </c>
      <c r="O46" s="172" t="e">
        <f>O41&amp;$S46&amp;ActY_m1Y</f>
        <v>#REF!</v>
      </c>
      <c r="P46" s="172" t="e">
        <f>O30</f>
        <v>#REF!</v>
      </c>
      <c r="Q46" s="172" t="e">
        <f t="shared" si="21"/>
        <v>#REF!</v>
      </c>
      <c r="R46" s="172" t="e">
        <f t="shared" si="21"/>
        <v>#REF!</v>
      </c>
      <c r="S46" s="172" t="str">
        <f t="shared" si="13"/>
        <v> </v>
      </c>
      <c r="T46" s="202"/>
      <c r="U46" s="203"/>
    </row>
    <row r="47" spans="8:21" ht="10.5">
      <c r="H47" s="256"/>
      <c r="I47" s="176" t="s">
        <v>369</v>
      </c>
      <c r="J47" s="177" t="e">
        <f t="shared" si="16"/>
        <v>#REF!</v>
      </c>
      <c r="K47" s="204" t="str">
        <f>N31</f>
        <v>09</v>
      </c>
      <c r="L47" s="204" t="str">
        <f t="shared" si="20"/>
        <v>12</v>
      </c>
      <c r="M47" s="204" t="str">
        <f t="shared" si="20"/>
        <v>03</v>
      </c>
      <c r="N47" s="204" t="str">
        <f t="shared" si="20"/>
        <v>06</v>
      </c>
      <c r="O47" s="204" t="str">
        <f>R31</f>
        <v>09</v>
      </c>
      <c r="P47" s="204" t="str">
        <f>O31</f>
        <v>12</v>
      </c>
      <c r="Q47" s="204" t="str">
        <f t="shared" si="21"/>
        <v>03</v>
      </c>
      <c r="R47" s="204" t="str">
        <f t="shared" si="21"/>
        <v>06</v>
      </c>
      <c r="S47" s="186">
        <f t="shared" si="13"/>
      </c>
      <c r="T47" s="205"/>
      <c r="U47" s="206"/>
    </row>
    <row r="48" spans="3:21" ht="10.5" thickBot="1">
      <c r="C48" s="184" t="s">
        <v>370</v>
      </c>
      <c r="D48" s="185" t="e">
        <f>RIGHT(ActQ_Y,2)&amp;TEXT(ActQBrDate,"MM")&amp;"AC"</f>
        <v>#REF!</v>
      </c>
      <c r="H48" s="256"/>
      <c r="I48" s="170" t="s">
        <v>371</v>
      </c>
      <c r="J48" s="171" t="e">
        <f t="shared" si="16"/>
        <v>#REF!</v>
      </c>
      <c r="K48" s="172" t="e">
        <f>ActYear_m1Y&amp;$S48&amp;K47</f>
        <v>#REF!</v>
      </c>
      <c r="L48" s="172" t="e">
        <f t="shared" si="20"/>
        <v>#REF!</v>
      </c>
      <c r="M48" s="172" t="e">
        <f t="shared" si="20"/>
        <v>#REF!</v>
      </c>
      <c r="N48" s="172" t="e">
        <f t="shared" si="20"/>
        <v>#REF!</v>
      </c>
      <c r="O48" s="172" t="e">
        <f>ActYear_m1Y&amp;$S48&amp;O47</f>
        <v>#REF!</v>
      </c>
      <c r="P48" s="172" t="e">
        <f aca="true" t="shared" si="22" ref="P48:R57">O32</f>
        <v>#REF!</v>
      </c>
      <c r="Q48" s="172" t="e">
        <f t="shared" si="22"/>
        <v>#REF!</v>
      </c>
      <c r="R48" s="172" t="e">
        <f t="shared" si="22"/>
        <v>#REF!</v>
      </c>
      <c r="S48" s="172" t="str">
        <f t="shared" si="13"/>
        <v> </v>
      </c>
      <c r="T48" s="202"/>
      <c r="U48" s="203"/>
    </row>
    <row r="49" spans="3:21" ht="10.5">
      <c r="C49" s="184" t="s">
        <v>372</v>
      </c>
      <c r="D49" s="185" t="e">
        <f>RIGHT(m1Q_Q_Y,2)&amp;TEXT(m1Q_QBrDate,"MM")&amp;"AC"</f>
        <v>#REF!</v>
      </c>
      <c r="H49" s="256"/>
      <c r="I49" s="176" t="s">
        <v>373</v>
      </c>
      <c r="J49" s="177" t="e">
        <f t="shared" si="16"/>
        <v>#REF!</v>
      </c>
      <c r="K49" s="186" t="str">
        <f>N33</f>
        <v>30 sep.</v>
      </c>
      <c r="L49" s="186" t="str">
        <f t="shared" si="20"/>
        <v>31 dec.</v>
      </c>
      <c r="M49" s="186" t="str">
        <f t="shared" si="20"/>
        <v>31 mar.</v>
      </c>
      <c r="N49" s="186" t="str">
        <f t="shared" si="20"/>
        <v>30 jun.</v>
      </c>
      <c r="O49" s="186" t="str">
        <f>R33</f>
        <v>Sep. 30</v>
      </c>
      <c r="P49" s="186" t="str">
        <f t="shared" si="22"/>
        <v>Dec. 31</v>
      </c>
      <c r="Q49" s="186" t="str">
        <f t="shared" si="22"/>
        <v>Mar. 31</v>
      </c>
      <c r="R49" s="186" t="str">
        <f t="shared" si="22"/>
        <v>Jun. 30</v>
      </c>
      <c r="S49" s="186">
        <f t="shared" si="13"/>
      </c>
      <c r="T49" s="205"/>
      <c r="U49" s="206"/>
    </row>
    <row r="50" spans="3:21" ht="10.5">
      <c r="C50" s="184" t="s">
        <v>374</v>
      </c>
      <c r="D50" s="185" t="e">
        <f>RIGHT(m2Q_Q_Y,2)&amp;TEXT(m2Q_QBrDate,"MM")&amp;"AC"</f>
        <v>#REF!</v>
      </c>
      <c r="H50" s="256"/>
      <c r="I50" s="164" t="s">
        <v>375</v>
      </c>
      <c r="J50" s="182" t="e">
        <f t="shared" si="16"/>
        <v>#REF!</v>
      </c>
      <c r="K50" s="183" t="e">
        <f>_XLL.SLUTMÅNAD(DATE(ActYear_m1Y,K47,1),0)</f>
        <v>#REF!</v>
      </c>
      <c r="L50" s="183" t="e">
        <f t="shared" si="20"/>
        <v>#REF!</v>
      </c>
      <c r="M50" s="183" t="e">
        <f t="shared" si="20"/>
        <v>#REF!</v>
      </c>
      <c r="N50" s="183" t="e">
        <f t="shared" si="20"/>
        <v>#REF!</v>
      </c>
      <c r="O50" s="183" t="e">
        <f>_XLL.SLUTMÅNAD(DATE(ActYear_m1Y,O47,1),0)</f>
        <v>#REF!</v>
      </c>
      <c r="P50" s="183" t="e">
        <f t="shared" si="22"/>
        <v>#REF!</v>
      </c>
      <c r="Q50" s="183" t="e">
        <f t="shared" si="22"/>
        <v>#REF!</v>
      </c>
      <c r="R50" s="183" t="e">
        <f t="shared" si="22"/>
        <v>#REF!</v>
      </c>
      <c r="S50" s="166">
        <f t="shared" si="13"/>
      </c>
      <c r="T50" s="197"/>
      <c r="U50" s="198"/>
    </row>
    <row r="51" spans="3:21" ht="10.5">
      <c r="C51" s="184" t="s">
        <v>376</v>
      </c>
      <c r="D51" s="185" t="e">
        <f>RIGHT(m3Q_Q_Y,2)&amp;TEXT(m3Q_QBrDate,"MM")&amp;"AC"</f>
        <v>#REF!</v>
      </c>
      <c r="H51" s="256"/>
      <c r="I51" s="164" t="s">
        <v>377</v>
      </c>
      <c r="J51" s="165" t="e">
        <f t="shared" si="16"/>
        <v>#REF!</v>
      </c>
      <c r="K51" s="166" t="e">
        <f>K49&amp;$S51&amp;ActYear_m1Y</f>
        <v>#REF!</v>
      </c>
      <c r="L51" s="166" t="e">
        <f t="shared" si="20"/>
        <v>#REF!</v>
      </c>
      <c r="M51" s="166" t="e">
        <f t="shared" si="20"/>
        <v>#REF!</v>
      </c>
      <c r="N51" s="166" t="e">
        <f t="shared" si="20"/>
        <v>#REF!</v>
      </c>
      <c r="O51" s="166" t="e">
        <f>O49&amp;","&amp;$S51&amp;ActYear_m1Y</f>
        <v>#REF!</v>
      </c>
      <c r="P51" s="166" t="e">
        <f t="shared" si="22"/>
        <v>#REF!</v>
      </c>
      <c r="Q51" s="166" t="e">
        <f t="shared" si="22"/>
        <v>#REF!</v>
      </c>
      <c r="R51" s="166" t="e">
        <f t="shared" si="22"/>
        <v>#REF!</v>
      </c>
      <c r="S51" s="166" t="str">
        <f t="shared" si="13"/>
        <v> </v>
      </c>
      <c r="T51" s="197"/>
      <c r="U51" s="198"/>
    </row>
    <row r="52" spans="3:21" ht="10.5" thickBot="1">
      <c r="C52" s="184" t="s">
        <v>378</v>
      </c>
      <c r="D52" s="185" t="e">
        <f>RIGHT(m4Q_Q_Y,2)&amp;TEXT(m4Q_QBrDate,"MM")&amp;"AC"</f>
        <v>#REF!</v>
      </c>
      <c r="H52" s="256"/>
      <c r="I52" s="170" t="s">
        <v>379</v>
      </c>
      <c r="J52" s="171" t="e">
        <f t="shared" si="16"/>
        <v>#REF!</v>
      </c>
      <c r="K52" s="172" t="e">
        <f>K49&amp;$S52&amp;ActY_m1Y</f>
        <v>#REF!</v>
      </c>
      <c r="L52" s="172" t="e">
        <f t="shared" si="20"/>
        <v>#REF!</v>
      </c>
      <c r="M52" s="172" t="e">
        <f t="shared" si="20"/>
        <v>#REF!</v>
      </c>
      <c r="N52" s="172" t="e">
        <f t="shared" si="20"/>
        <v>#REF!</v>
      </c>
      <c r="O52" s="172" t="e">
        <f>O49&amp;$S52&amp;ActY_m1Y</f>
        <v>#REF!</v>
      </c>
      <c r="P52" s="172" t="e">
        <f t="shared" si="22"/>
        <v>#REF!</v>
      </c>
      <c r="Q52" s="172" t="e">
        <f t="shared" si="22"/>
        <v>#REF!</v>
      </c>
      <c r="R52" s="172" t="e">
        <f t="shared" si="22"/>
        <v>#REF!</v>
      </c>
      <c r="S52" s="172" t="str">
        <f t="shared" si="13"/>
        <v> </v>
      </c>
      <c r="T52" s="202"/>
      <c r="U52" s="203"/>
    </row>
    <row r="53" spans="3:21" ht="10.5">
      <c r="C53" s="184" t="s">
        <v>380</v>
      </c>
      <c r="D53" s="185" t="e">
        <f>ActY_m1Y&amp;TEXT(FullYearBrDate_1Y,"MM")&amp;"AC"</f>
        <v>#REF!</v>
      </c>
      <c r="H53" s="256"/>
      <c r="I53" s="176" t="s">
        <v>381</v>
      </c>
      <c r="J53" s="177" t="e">
        <f t="shared" si="16"/>
        <v>#REF!</v>
      </c>
      <c r="K53" s="186" t="e">
        <f>K55&amp;$S53&amp;ActYear_m1Y</f>
        <v>#REF!</v>
      </c>
      <c r="L53" s="186" t="e">
        <f t="shared" si="20"/>
        <v>#REF!</v>
      </c>
      <c r="M53" s="186" t="e">
        <f t="shared" si="20"/>
        <v>#REF!</v>
      </c>
      <c r="N53" s="186" t="e">
        <f t="shared" si="20"/>
        <v>#REF!</v>
      </c>
      <c r="O53" s="186" t="e">
        <f>O55&amp;$S53&amp;ActYear_m1Y</f>
        <v>#REF!</v>
      </c>
      <c r="P53" s="186" t="e">
        <f t="shared" si="22"/>
        <v>#REF!</v>
      </c>
      <c r="Q53" s="186" t="e">
        <f t="shared" si="22"/>
        <v>#REF!</v>
      </c>
      <c r="R53" s="186" t="e">
        <f t="shared" si="22"/>
        <v>#REF!</v>
      </c>
      <c r="S53" s="186" t="str">
        <f t="shared" si="13"/>
        <v> </v>
      </c>
      <c r="T53" s="205"/>
      <c r="U53" s="206"/>
    </row>
    <row r="54" spans="3:21" ht="10.5" thickBot="1">
      <c r="C54" s="184" t="s">
        <v>382</v>
      </c>
      <c r="D54" s="185" t="e">
        <f>RIGHT(m5Q_Q_Y,2)&amp;TEXT(m5Q_QBrDate,"MM")&amp;"AC"</f>
        <v>#REF!</v>
      </c>
      <c r="H54" s="256"/>
      <c r="I54" s="170" t="s">
        <v>383</v>
      </c>
      <c r="J54" s="171" t="e">
        <f t="shared" si="16"/>
        <v>#REF!</v>
      </c>
      <c r="K54" s="172" t="e">
        <f>K55&amp;$S53&amp;ActY_m1Y</f>
        <v>#REF!</v>
      </c>
      <c r="L54" s="172" t="e">
        <f t="shared" si="20"/>
        <v>#REF!</v>
      </c>
      <c r="M54" s="172" t="e">
        <f t="shared" si="20"/>
        <v>#REF!</v>
      </c>
      <c r="N54" s="172" t="e">
        <f t="shared" si="20"/>
        <v>#REF!</v>
      </c>
      <c r="O54" s="172" t="e">
        <f>O55&amp;$S53&amp;ActY_m1Y</f>
        <v>#REF!</v>
      </c>
      <c r="P54" s="172" t="e">
        <f t="shared" si="22"/>
        <v>#REF!</v>
      </c>
      <c r="Q54" s="172" t="e">
        <f t="shared" si="22"/>
        <v>#REF!</v>
      </c>
      <c r="R54" s="172" t="e">
        <f t="shared" si="22"/>
        <v>#REF!</v>
      </c>
      <c r="S54" s="172">
        <f t="shared" si="13"/>
      </c>
      <c r="T54" s="202"/>
      <c r="U54" s="203"/>
    </row>
    <row r="55" spans="3:21" ht="10.5">
      <c r="C55" s="184" t="s">
        <v>384</v>
      </c>
      <c r="D55" s="185" t="e">
        <f>RIGHT(m6Q_Q_Y,2)&amp;TEXT(m6Q_QBrDate,"MM")&amp;"AC"</f>
        <v>#REF!</v>
      </c>
      <c r="H55" s="256"/>
      <c r="I55" s="176" t="s">
        <v>385</v>
      </c>
      <c r="J55" s="177" t="e">
        <f t="shared" si="16"/>
        <v>#REF!</v>
      </c>
      <c r="K55" s="186" t="str">
        <f>N39</f>
        <v>jul-sep</v>
      </c>
      <c r="L55" s="186" t="str">
        <f t="shared" si="20"/>
        <v>okt-dec</v>
      </c>
      <c r="M55" s="186" t="str">
        <f t="shared" si="20"/>
        <v>jan-mar</v>
      </c>
      <c r="N55" s="186" t="str">
        <f t="shared" si="20"/>
        <v>apr-jun</v>
      </c>
      <c r="O55" s="186" t="str">
        <f>R39</f>
        <v>Jul-Sep</v>
      </c>
      <c r="P55" s="186" t="str">
        <f t="shared" si="22"/>
        <v>Oct-Dec</v>
      </c>
      <c r="Q55" s="186" t="str">
        <f t="shared" si="22"/>
        <v>Jan-Mar</v>
      </c>
      <c r="R55" s="186" t="str">
        <f t="shared" si="22"/>
        <v>Apr-Jun</v>
      </c>
      <c r="S55" s="186">
        <f t="shared" si="13"/>
      </c>
      <c r="T55" s="205"/>
      <c r="U55" s="206"/>
    </row>
    <row r="56" spans="3:21" ht="10.5" thickBot="1">
      <c r="C56" s="184" t="s">
        <v>386</v>
      </c>
      <c r="D56" s="185" t="e">
        <f>RIGHT(m7Q_Q_Y,2)&amp;TEXT(m7Q_QBrDate,"MM")&amp;"AC"</f>
        <v>#REF!</v>
      </c>
      <c r="H56" s="257"/>
      <c r="I56" s="208" t="s">
        <v>387</v>
      </c>
      <c r="J56" s="209" t="e">
        <f t="shared" si="16"/>
        <v>#REF!</v>
      </c>
      <c r="K56" s="210" t="str">
        <f>N40</f>
        <v>jan-sep</v>
      </c>
      <c r="L56" s="210" t="str">
        <f t="shared" si="20"/>
        <v>jan-dec</v>
      </c>
      <c r="M56" s="210" t="str">
        <f t="shared" si="20"/>
        <v>jan-mar</v>
      </c>
      <c r="N56" s="210" t="str">
        <f t="shared" si="20"/>
        <v>jan-jun</v>
      </c>
      <c r="O56" s="210" t="str">
        <f>R40</f>
        <v>Jan-Sep</v>
      </c>
      <c r="P56" s="210" t="str">
        <f t="shared" si="22"/>
        <v>Jan-Dec</v>
      </c>
      <c r="Q56" s="210" t="str">
        <f t="shared" si="22"/>
        <v>Jan-Mar</v>
      </c>
      <c r="R56" s="210" t="str">
        <f t="shared" si="22"/>
        <v>Jan-Jun</v>
      </c>
      <c r="S56" s="210">
        <f t="shared" si="13"/>
      </c>
      <c r="T56" s="211"/>
      <c r="U56" s="212"/>
    </row>
    <row r="57" spans="3:21" ht="10.5" thickTop="1">
      <c r="C57" s="184" t="s">
        <v>388</v>
      </c>
      <c r="D57" s="185" t="e">
        <f>RIGHT(m8Q_Q_Y,2)&amp;TEXT(m8Q_QBrDate,"MM")&amp;"AC"</f>
        <v>#REF!</v>
      </c>
      <c r="H57" s="255" t="s">
        <v>389</v>
      </c>
      <c r="I57" s="190" t="s">
        <v>390</v>
      </c>
      <c r="J57" s="191" t="e">
        <f t="shared" si="16"/>
        <v>#REF!</v>
      </c>
      <c r="K57" s="192">
        <f>N41</f>
        <v>2</v>
      </c>
      <c r="L57" s="192">
        <f t="shared" si="20"/>
        <v>3</v>
      </c>
      <c r="M57" s="192">
        <f t="shared" si="20"/>
        <v>4</v>
      </c>
      <c r="N57" s="192">
        <f t="shared" si="20"/>
        <v>1</v>
      </c>
      <c r="O57" s="192">
        <f>R41</f>
        <v>2</v>
      </c>
      <c r="P57" s="192">
        <f t="shared" si="22"/>
        <v>3</v>
      </c>
      <c r="Q57" s="192">
        <f t="shared" si="22"/>
        <v>4</v>
      </c>
      <c r="R57" s="192">
        <f t="shared" si="22"/>
        <v>1</v>
      </c>
      <c r="S57" s="192">
        <f t="shared" si="13"/>
      </c>
      <c r="T57" s="193"/>
      <c r="U57" s="194"/>
    </row>
    <row r="58" spans="3:21" ht="10.5">
      <c r="C58" s="184" t="s">
        <v>391</v>
      </c>
      <c r="D58" s="185" t="e">
        <f>ActY_m2Y&amp;TEXT(FullYearBrDate_1Y,"MM")&amp;"AC"</f>
        <v>#REF!</v>
      </c>
      <c r="H58" s="256"/>
      <c r="I58" s="164" t="s">
        <v>392</v>
      </c>
      <c r="J58" s="165" t="e">
        <f t="shared" si="16"/>
        <v>#REF!</v>
      </c>
      <c r="K58" s="166" t="str">
        <f aca="true" t="shared" si="23" ref="K58:R58">"Q"&amp;K57</f>
        <v>Q2</v>
      </c>
      <c r="L58" s="166" t="str">
        <f t="shared" si="23"/>
        <v>Q3</v>
      </c>
      <c r="M58" s="166" t="str">
        <f t="shared" si="23"/>
        <v>Q4</v>
      </c>
      <c r="N58" s="166" t="str">
        <f t="shared" si="23"/>
        <v>Q1</v>
      </c>
      <c r="O58" s="166" t="str">
        <f t="shared" si="23"/>
        <v>Q2</v>
      </c>
      <c r="P58" s="166" t="str">
        <f t="shared" si="23"/>
        <v>Q3</v>
      </c>
      <c r="Q58" s="166" t="str">
        <f t="shared" si="23"/>
        <v>Q4</v>
      </c>
      <c r="R58" s="166" t="str">
        <f t="shared" si="23"/>
        <v>Q1</v>
      </c>
      <c r="S58" s="166">
        <f t="shared" si="13"/>
      </c>
      <c r="T58" s="197"/>
      <c r="U58" s="198"/>
    </row>
    <row r="59" spans="8:21" ht="10.5">
      <c r="H59" s="256"/>
      <c r="I59" s="164" t="s">
        <v>393</v>
      </c>
      <c r="J59" s="165" t="e">
        <f t="shared" si="16"/>
        <v>#REF!</v>
      </c>
      <c r="K59" s="166" t="e">
        <f>K58&amp;$S59&amp;ActYear_m1Y</f>
        <v>#REF!</v>
      </c>
      <c r="L59" s="166" t="e">
        <f aca="true" t="shared" si="24" ref="L59:N73">K43</f>
        <v>#REF!</v>
      </c>
      <c r="M59" s="166" t="e">
        <f t="shared" si="24"/>
        <v>#REF!</v>
      </c>
      <c r="N59" s="166" t="e">
        <f t="shared" si="24"/>
        <v>#REF!</v>
      </c>
      <c r="O59" s="166" t="e">
        <f>O58&amp;$S59&amp;ActYear_m1Y</f>
        <v>#REF!</v>
      </c>
      <c r="P59" s="166" t="e">
        <f>O43</f>
        <v>#REF!</v>
      </c>
      <c r="Q59" s="166" t="e">
        <f>P43</f>
        <v>#REF!</v>
      </c>
      <c r="R59" s="166" t="e">
        <f>Q43</f>
        <v>#REF!</v>
      </c>
      <c r="S59" s="166" t="str">
        <f t="shared" si="13"/>
        <v> </v>
      </c>
      <c r="T59" s="197"/>
      <c r="U59" s="198"/>
    </row>
    <row r="60" spans="8:21" ht="10.5">
      <c r="H60" s="256"/>
      <c r="I60" s="164" t="s">
        <v>394</v>
      </c>
      <c r="J60" s="165" t="e">
        <f t="shared" si="16"/>
        <v>#REF!</v>
      </c>
      <c r="K60" s="166" t="e">
        <f>K58&amp;$S60&amp;ActY_m1Y</f>
        <v>#REF!</v>
      </c>
      <c r="L60" s="166" t="e">
        <f t="shared" si="24"/>
        <v>#REF!</v>
      </c>
      <c r="M60" s="166" t="e">
        <f t="shared" si="24"/>
        <v>#REF!</v>
      </c>
      <c r="N60" s="166" t="e">
        <f t="shared" si="24"/>
        <v>#REF!</v>
      </c>
      <c r="O60" s="166" t="e">
        <f>O58&amp;$S60&amp;ActY_m1Y</f>
        <v>#REF!</v>
      </c>
      <c r="P60" s="166" t="e">
        <f aca="true" t="shared" si="25" ref="P60:R73">O44</f>
        <v>#REF!</v>
      </c>
      <c r="Q60" s="166" t="e">
        <f>P43</f>
        <v>#REF!</v>
      </c>
      <c r="R60" s="166" t="e">
        <f>Q43</f>
        <v>#REF!</v>
      </c>
      <c r="S60" s="166" t="str">
        <f t="shared" si="13"/>
        <v> </v>
      </c>
      <c r="T60" s="197"/>
      <c r="U60" s="198"/>
    </row>
    <row r="61" spans="8:21" ht="10.5">
      <c r="H61" s="256"/>
      <c r="I61" s="164" t="s">
        <v>395</v>
      </c>
      <c r="J61" s="165" t="e">
        <f t="shared" si="16"/>
        <v>#REF!</v>
      </c>
      <c r="K61" s="166" t="e">
        <f>K57&amp;$S61&amp;ActYear_m1Y</f>
        <v>#REF!</v>
      </c>
      <c r="L61" s="166" t="e">
        <f t="shared" si="24"/>
        <v>#REF!</v>
      </c>
      <c r="M61" s="166" t="e">
        <f t="shared" si="24"/>
        <v>#REF!</v>
      </c>
      <c r="N61" s="166" t="e">
        <f t="shared" si="24"/>
        <v>#REF!</v>
      </c>
      <c r="O61" s="166" t="e">
        <f>O57&amp;$S61&amp;ActYear_m1Y</f>
        <v>#REF!</v>
      </c>
      <c r="P61" s="166" t="e">
        <f t="shared" si="25"/>
        <v>#REF!</v>
      </c>
      <c r="Q61" s="166" t="e">
        <f t="shared" si="25"/>
        <v>#REF!</v>
      </c>
      <c r="R61" s="166" t="e">
        <f t="shared" si="25"/>
        <v>#REF!</v>
      </c>
      <c r="S61" s="166" t="str">
        <f t="shared" si="13"/>
        <v> </v>
      </c>
      <c r="T61" s="197"/>
      <c r="U61" s="198"/>
    </row>
    <row r="62" spans="8:21" ht="10.5" thickBot="1">
      <c r="H62" s="256"/>
      <c r="I62" s="170" t="s">
        <v>396</v>
      </c>
      <c r="J62" s="171" t="e">
        <f t="shared" si="16"/>
        <v>#REF!</v>
      </c>
      <c r="K62" s="172" t="e">
        <f>K57&amp;$S62&amp;ActY_m1Y</f>
        <v>#REF!</v>
      </c>
      <c r="L62" s="172" t="e">
        <f t="shared" si="24"/>
        <v>#REF!</v>
      </c>
      <c r="M62" s="172" t="e">
        <f t="shared" si="24"/>
        <v>#REF!</v>
      </c>
      <c r="N62" s="172" t="e">
        <f t="shared" si="24"/>
        <v>#REF!</v>
      </c>
      <c r="O62" s="172" t="e">
        <f>O57&amp;$S62&amp;ActY_m1Y</f>
        <v>#REF!</v>
      </c>
      <c r="P62" s="172" t="e">
        <f t="shared" si="25"/>
        <v>#REF!</v>
      </c>
      <c r="Q62" s="172" t="e">
        <f t="shared" si="25"/>
        <v>#REF!</v>
      </c>
      <c r="R62" s="172" t="e">
        <f t="shared" si="25"/>
        <v>#REF!</v>
      </c>
      <c r="S62" s="172" t="str">
        <f t="shared" si="13"/>
        <v> </v>
      </c>
      <c r="T62" s="202"/>
      <c r="U62" s="203"/>
    </row>
    <row r="63" spans="8:21" ht="10.5">
      <c r="H63" s="256"/>
      <c r="I63" s="176" t="s">
        <v>397</v>
      </c>
      <c r="J63" s="177" t="e">
        <f t="shared" si="16"/>
        <v>#REF!</v>
      </c>
      <c r="K63" s="204" t="str">
        <f>N47</f>
        <v>06</v>
      </c>
      <c r="L63" s="204" t="str">
        <f t="shared" si="24"/>
        <v>09</v>
      </c>
      <c r="M63" s="204" t="str">
        <f t="shared" si="24"/>
        <v>12</v>
      </c>
      <c r="N63" s="204" t="str">
        <f t="shared" si="24"/>
        <v>03</v>
      </c>
      <c r="O63" s="204" t="str">
        <f>R47</f>
        <v>06</v>
      </c>
      <c r="P63" s="204" t="str">
        <f t="shared" si="25"/>
        <v>09</v>
      </c>
      <c r="Q63" s="204" t="str">
        <f t="shared" si="25"/>
        <v>12</v>
      </c>
      <c r="R63" s="204" t="str">
        <f t="shared" si="25"/>
        <v>03</v>
      </c>
      <c r="S63" s="186">
        <f t="shared" si="13"/>
      </c>
      <c r="T63" s="205"/>
      <c r="U63" s="206"/>
    </row>
    <row r="64" spans="8:21" ht="10.5" thickBot="1">
      <c r="H64" s="256"/>
      <c r="I64" s="170" t="s">
        <v>398</v>
      </c>
      <c r="J64" s="171" t="e">
        <f t="shared" si="16"/>
        <v>#REF!</v>
      </c>
      <c r="K64" s="172" t="e">
        <f>ActYear_m1Y&amp;$S64&amp;K63</f>
        <v>#REF!</v>
      </c>
      <c r="L64" s="172" t="e">
        <f t="shared" si="24"/>
        <v>#REF!</v>
      </c>
      <c r="M64" s="172" t="e">
        <f t="shared" si="24"/>
        <v>#REF!</v>
      </c>
      <c r="N64" s="172" t="e">
        <f t="shared" si="24"/>
        <v>#REF!</v>
      </c>
      <c r="O64" s="172" t="e">
        <f>ActYear_m1Y&amp;$S64&amp;O63</f>
        <v>#REF!</v>
      </c>
      <c r="P64" s="172" t="e">
        <f t="shared" si="25"/>
        <v>#REF!</v>
      </c>
      <c r="Q64" s="172" t="e">
        <f t="shared" si="25"/>
        <v>#REF!</v>
      </c>
      <c r="R64" s="172" t="e">
        <f t="shared" si="25"/>
        <v>#REF!</v>
      </c>
      <c r="S64" s="172" t="str">
        <f t="shared" si="13"/>
        <v> </v>
      </c>
      <c r="T64" s="202"/>
      <c r="U64" s="203"/>
    </row>
    <row r="65" spans="8:21" ht="10.5">
      <c r="H65" s="256"/>
      <c r="I65" s="176" t="s">
        <v>399</v>
      </c>
      <c r="J65" s="177" t="e">
        <f t="shared" si="16"/>
        <v>#REF!</v>
      </c>
      <c r="K65" s="186" t="str">
        <f>N49</f>
        <v>30 jun.</v>
      </c>
      <c r="L65" s="186" t="str">
        <f t="shared" si="24"/>
        <v>30 sep.</v>
      </c>
      <c r="M65" s="186" t="str">
        <f t="shared" si="24"/>
        <v>31 dec.</v>
      </c>
      <c r="N65" s="186" t="str">
        <f t="shared" si="24"/>
        <v>31 mar.</v>
      </c>
      <c r="O65" s="186" t="str">
        <f>R49</f>
        <v>Jun. 30</v>
      </c>
      <c r="P65" s="186" t="str">
        <f t="shared" si="25"/>
        <v>Sep. 30</v>
      </c>
      <c r="Q65" s="186" t="str">
        <f t="shared" si="25"/>
        <v>Dec. 31</v>
      </c>
      <c r="R65" s="186" t="str">
        <f t="shared" si="25"/>
        <v>Mar. 31</v>
      </c>
      <c r="S65" s="186">
        <f t="shared" si="13"/>
      </c>
      <c r="T65" s="205"/>
      <c r="U65" s="206"/>
    </row>
    <row r="66" spans="8:21" ht="10.5">
      <c r="H66" s="256"/>
      <c r="I66" s="164" t="s">
        <v>400</v>
      </c>
      <c r="J66" s="182" t="e">
        <f t="shared" si="16"/>
        <v>#REF!</v>
      </c>
      <c r="K66" s="183" t="e">
        <f>_XLL.SLUTMÅNAD(DATE(ActYear_m1Y,K63,1),0)</f>
        <v>#REF!</v>
      </c>
      <c r="L66" s="183" t="e">
        <f t="shared" si="24"/>
        <v>#REF!</v>
      </c>
      <c r="M66" s="183" t="e">
        <f t="shared" si="24"/>
        <v>#REF!</v>
      </c>
      <c r="N66" s="183" t="e">
        <f t="shared" si="24"/>
        <v>#REF!</v>
      </c>
      <c r="O66" s="183" t="e">
        <f>_XLL.SLUTMÅNAD(DATE(ActYear_m1Y,O63,1),0)</f>
        <v>#REF!</v>
      </c>
      <c r="P66" s="183" t="e">
        <f t="shared" si="25"/>
        <v>#REF!</v>
      </c>
      <c r="Q66" s="183" t="e">
        <f t="shared" si="25"/>
        <v>#REF!</v>
      </c>
      <c r="R66" s="183" t="e">
        <f t="shared" si="25"/>
        <v>#REF!</v>
      </c>
      <c r="S66" s="166">
        <f t="shared" si="13"/>
      </c>
      <c r="T66" s="197"/>
      <c r="U66" s="198"/>
    </row>
    <row r="67" spans="8:21" ht="10.5">
      <c r="H67" s="256"/>
      <c r="I67" s="164" t="s">
        <v>401</v>
      </c>
      <c r="J67" s="165" t="e">
        <f t="shared" si="16"/>
        <v>#REF!</v>
      </c>
      <c r="K67" s="166" t="e">
        <f>K65&amp;$S67&amp;ActYear_m1Y</f>
        <v>#REF!</v>
      </c>
      <c r="L67" s="166" t="e">
        <f t="shared" si="24"/>
        <v>#REF!</v>
      </c>
      <c r="M67" s="166" t="e">
        <f t="shared" si="24"/>
        <v>#REF!</v>
      </c>
      <c r="N67" s="166" t="e">
        <f t="shared" si="24"/>
        <v>#REF!</v>
      </c>
      <c r="O67" s="166" t="e">
        <f>O65&amp;","&amp;$S67&amp;ActYear_m1Y</f>
        <v>#REF!</v>
      </c>
      <c r="P67" s="166" t="e">
        <f>O51</f>
        <v>#REF!</v>
      </c>
      <c r="Q67" s="166" t="e">
        <f>P51</f>
        <v>#REF!</v>
      </c>
      <c r="R67" s="166" t="e">
        <f t="shared" si="25"/>
        <v>#REF!</v>
      </c>
      <c r="S67" s="166" t="str">
        <f t="shared" si="13"/>
        <v> </v>
      </c>
      <c r="T67" s="197"/>
      <c r="U67" s="198"/>
    </row>
    <row r="68" spans="8:21" ht="10.5" thickBot="1">
      <c r="H68" s="256"/>
      <c r="I68" s="170" t="s">
        <v>402</v>
      </c>
      <c r="J68" s="171" t="e">
        <f t="shared" si="16"/>
        <v>#REF!</v>
      </c>
      <c r="K68" s="172" t="e">
        <f>K65&amp;$S68&amp;ActY_m1Y</f>
        <v>#REF!</v>
      </c>
      <c r="L68" s="172" t="e">
        <f t="shared" si="24"/>
        <v>#REF!</v>
      </c>
      <c r="M68" s="172" t="e">
        <f t="shared" si="24"/>
        <v>#REF!</v>
      </c>
      <c r="N68" s="172" t="e">
        <f t="shared" si="24"/>
        <v>#REF!</v>
      </c>
      <c r="O68" s="172" t="e">
        <f>O65&amp;$S68&amp;ActY_m1Y</f>
        <v>#REF!</v>
      </c>
      <c r="P68" s="172" t="e">
        <f t="shared" si="25"/>
        <v>#REF!</v>
      </c>
      <c r="Q68" s="172" t="e">
        <f t="shared" si="25"/>
        <v>#REF!</v>
      </c>
      <c r="R68" s="172" t="e">
        <f t="shared" si="25"/>
        <v>#REF!</v>
      </c>
      <c r="S68" s="172" t="str">
        <f t="shared" si="13"/>
        <v> </v>
      </c>
      <c r="T68" s="202"/>
      <c r="U68" s="203"/>
    </row>
    <row r="69" spans="8:21" ht="10.5">
      <c r="H69" s="256"/>
      <c r="I69" s="176" t="s">
        <v>403</v>
      </c>
      <c r="J69" s="177" t="e">
        <f t="shared" si="16"/>
        <v>#REF!</v>
      </c>
      <c r="K69" s="186" t="e">
        <f>K71&amp;$S69&amp;ActYear_m1Y</f>
        <v>#REF!</v>
      </c>
      <c r="L69" s="186" t="e">
        <f t="shared" si="24"/>
        <v>#REF!</v>
      </c>
      <c r="M69" s="186" t="e">
        <f t="shared" si="24"/>
        <v>#REF!</v>
      </c>
      <c r="N69" s="186" t="e">
        <f t="shared" si="24"/>
        <v>#REF!</v>
      </c>
      <c r="O69" s="186" t="e">
        <f>O71&amp;$S69&amp;ActYear_m1Y</f>
        <v>#REF!</v>
      </c>
      <c r="P69" s="186" t="e">
        <f t="shared" si="25"/>
        <v>#REF!</v>
      </c>
      <c r="Q69" s="186" t="e">
        <f t="shared" si="25"/>
        <v>#REF!</v>
      </c>
      <c r="R69" s="186" t="e">
        <f t="shared" si="25"/>
        <v>#REF!</v>
      </c>
      <c r="S69" s="186" t="str">
        <f t="shared" si="13"/>
        <v> </v>
      </c>
      <c r="T69" s="205"/>
      <c r="U69" s="206"/>
    </row>
    <row r="70" spans="8:21" ht="10.5" thickBot="1">
      <c r="H70" s="256"/>
      <c r="I70" s="170" t="s">
        <v>404</v>
      </c>
      <c r="J70" s="171" t="e">
        <f t="shared" si="16"/>
        <v>#REF!</v>
      </c>
      <c r="K70" s="172" t="e">
        <f>K71&amp;$S69&amp;ActY_m1Y</f>
        <v>#REF!</v>
      </c>
      <c r="L70" s="172" t="e">
        <f t="shared" si="24"/>
        <v>#REF!</v>
      </c>
      <c r="M70" s="172" t="e">
        <f t="shared" si="24"/>
        <v>#REF!</v>
      </c>
      <c r="N70" s="172" t="e">
        <f t="shared" si="24"/>
        <v>#REF!</v>
      </c>
      <c r="O70" s="172" t="e">
        <f>O71&amp;$S69&amp;ActY_m1Y</f>
        <v>#REF!</v>
      </c>
      <c r="P70" s="172" t="e">
        <f t="shared" si="25"/>
        <v>#REF!</v>
      </c>
      <c r="Q70" s="172" t="e">
        <f t="shared" si="25"/>
        <v>#REF!</v>
      </c>
      <c r="R70" s="172" t="e">
        <f t="shared" si="25"/>
        <v>#REF!</v>
      </c>
      <c r="S70" s="172">
        <f t="shared" si="13"/>
      </c>
      <c r="T70" s="202"/>
      <c r="U70" s="203"/>
    </row>
    <row r="71" spans="8:21" ht="10.5">
      <c r="H71" s="256"/>
      <c r="I71" s="176" t="s">
        <v>405</v>
      </c>
      <c r="J71" s="177" t="e">
        <f aca="true" t="shared" si="26" ref="J71:J102">INDEX(K71:R71,,SelectIdx)</f>
        <v>#REF!</v>
      </c>
      <c r="K71" s="186" t="str">
        <f>N55</f>
        <v>apr-jun</v>
      </c>
      <c r="L71" s="186" t="str">
        <f t="shared" si="24"/>
        <v>jul-sep</v>
      </c>
      <c r="M71" s="186" t="str">
        <f t="shared" si="24"/>
        <v>okt-dec</v>
      </c>
      <c r="N71" s="186" t="str">
        <f t="shared" si="24"/>
        <v>jan-mar</v>
      </c>
      <c r="O71" s="186" t="str">
        <f>R55</f>
        <v>Apr-Jun</v>
      </c>
      <c r="P71" s="186" t="str">
        <f t="shared" si="25"/>
        <v>Jul-Sep</v>
      </c>
      <c r="Q71" s="186" t="str">
        <f t="shared" si="25"/>
        <v>Oct-Dec</v>
      </c>
      <c r="R71" s="186" t="str">
        <f t="shared" si="25"/>
        <v>Jan-Mar</v>
      </c>
      <c r="S71" s="186">
        <f t="shared" si="13"/>
      </c>
      <c r="T71" s="205"/>
      <c r="U71" s="206"/>
    </row>
    <row r="72" spans="8:21" ht="10.5" thickBot="1">
      <c r="H72" s="257"/>
      <c r="I72" s="208" t="s">
        <v>406</v>
      </c>
      <c r="J72" s="209" t="e">
        <f t="shared" si="26"/>
        <v>#REF!</v>
      </c>
      <c r="K72" s="210" t="str">
        <f>N56</f>
        <v>jan-jun</v>
      </c>
      <c r="L72" s="210" t="str">
        <f t="shared" si="24"/>
        <v>jan-sep</v>
      </c>
      <c r="M72" s="210" t="str">
        <f t="shared" si="24"/>
        <v>jan-dec</v>
      </c>
      <c r="N72" s="210" t="str">
        <f t="shared" si="24"/>
        <v>jan-mar</v>
      </c>
      <c r="O72" s="210" t="str">
        <f>R56</f>
        <v>Jan-Jun</v>
      </c>
      <c r="P72" s="210" t="str">
        <f t="shared" si="25"/>
        <v>Jan-Sep</v>
      </c>
      <c r="Q72" s="210" t="str">
        <f t="shared" si="25"/>
        <v>Jan-Dec</v>
      </c>
      <c r="R72" s="210" t="str">
        <f t="shared" si="25"/>
        <v>Jan-Mar</v>
      </c>
      <c r="S72" s="210">
        <f t="shared" si="13"/>
      </c>
      <c r="T72" s="211"/>
      <c r="U72" s="212"/>
    </row>
    <row r="73" spans="8:21" ht="10.5" thickTop="1">
      <c r="H73" s="255" t="s">
        <v>407</v>
      </c>
      <c r="I73" s="190" t="s">
        <v>408</v>
      </c>
      <c r="J73" s="191" t="e">
        <f t="shared" si="26"/>
        <v>#REF!</v>
      </c>
      <c r="K73" s="192">
        <f>N57</f>
        <v>1</v>
      </c>
      <c r="L73" s="192">
        <f t="shared" si="24"/>
        <v>2</v>
      </c>
      <c r="M73" s="192">
        <f t="shared" si="24"/>
        <v>3</v>
      </c>
      <c r="N73" s="192">
        <f t="shared" si="24"/>
        <v>4</v>
      </c>
      <c r="O73" s="192">
        <f>R57</f>
        <v>1</v>
      </c>
      <c r="P73" s="192">
        <f t="shared" si="25"/>
        <v>2</v>
      </c>
      <c r="Q73" s="192">
        <f t="shared" si="25"/>
        <v>3</v>
      </c>
      <c r="R73" s="192">
        <f t="shared" si="25"/>
        <v>4</v>
      </c>
      <c r="S73" s="192">
        <f t="shared" si="13"/>
      </c>
      <c r="T73" s="193"/>
      <c r="U73" s="194"/>
    </row>
    <row r="74" spans="8:21" ht="10.5">
      <c r="H74" s="256"/>
      <c r="I74" s="164" t="s">
        <v>409</v>
      </c>
      <c r="J74" s="165" t="e">
        <f t="shared" si="26"/>
        <v>#REF!</v>
      </c>
      <c r="K74" s="166" t="str">
        <f aca="true" t="shared" si="27" ref="K74:R74">"Q"&amp;K73</f>
        <v>Q1</v>
      </c>
      <c r="L74" s="166" t="str">
        <f t="shared" si="27"/>
        <v>Q2</v>
      </c>
      <c r="M74" s="166" t="str">
        <f t="shared" si="27"/>
        <v>Q3</v>
      </c>
      <c r="N74" s="166" t="str">
        <f t="shared" si="27"/>
        <v>Q4</v>
      </c>
      <c r="O74" s="166" t="str">
        <f t="shared" si="27"/>
        <v>Q1</v>
      </c>
      <c r="P74" s="166" t="str">
        <f t="shared" si="27"/>
        <v>Q2</v>
      </c>
      <c r="Q74" s="166" t="str">
        <f t="shared" si="27"/>
        <v>Q3</v>
      </c>
      <c r="R74" s="166" t="str">
        <f t="shared" si="27"/>
        <v>Q4</v>
      </c>
      <c r="S74" s="166">
        <f t="shared" si="13"/>
      </c>
      <c r="T74" s="197"/>
      <c r="U74" s="198"/>
    </row>
    <row r="75" spans="8:21" ht="10.5">
      <c r="H75" s="256"/>
      <c r="I75" s="164" t="s">
        <v>410</v>
      </c>
      <c r="J75" s="165" t="e">
        <f t="shared" si="26"/>
        <v>#REF!</v>
      </c>
      <c r="K75" s="166" t="e">
        <f>K74&amp;$S75&amp;ActYear_m1Y</f>
        <v>#REF!</v>
      </c>
      <c r="L75" s="166" t="e">
        <f aca="true" t="shared" si="28" ref="L75:N89">K59</f>
        <v>#REF!</v>
      </c>
      <c r="M75" s="166" t="e">
        <f t="shared" si="28"/>
        <v>#REF!</v>
      </c>
      <c r="N75" s="166" t="e">
        <f t="shared" si="28"/>
        <v>#REF!</v>
      </c>
      <c r="O75" s="166" t="e">
        <f>O74&amp;$S75&amp;ActYear_m1Y</f>
        <v>#REF!</v>
      </c>
      <c r="P75" s="166" t="e">
        <f>O59</f>
        <v>#REF!</v>
      </c>
      <c r="Q75" s="166" t="e">
        <f>P59</f>
        <v>#REF!</v>
      </c>
      <c r="R75" s="166" t="e">
        <f>Q59</f>
        <v>#REF!</v>
      </c>
      <c r="S75" s="166" t="str">
        <f t="shared" si="13"/>
        <v> </v>
      </c>
      <c r="T75" s="197"/>
      <c r="U75" s="198"/>
    </row>
    <row r="76" spans="8:21" ht="10.5">
      <c r="H76" s="256"/>
      <c r="I76" s="164" t="s">
        <v>411</v>
      </c>
      <c r="J76" s="165" t="e">
        <f t="shared" si="26"/>
        <v>#REF!</v>
      </c>
      <c r="K76" s="166" t="e">
        <f>K74&amp;$S76&amp;ActY_m1Y</f>
        <v>#REF!</v>
      </c>
      <c r="L76" s="166" t="e">
        <f t="shared" si="28"/>
        <v>#REF!</v>
      </c>
      <c r="M76" s="166" t="e">
        <f t="shared" si="28"/>
        <v>#REF!</v>
      </c>
      <c r="N76" s="166" t="e">
        <f t="shared" si="28"/>
        <v>#REF!</v>
      </c>
      <c r="O76" s="166" t="e">
        <f>O74&amp;$S76&amp;ActY_m1Y</f>
        <v>#REF!</v>
      </c>
      <c r="P76" s="166" t="e">
        <f aca="true" t="shared" si="29" ref="P76:R89">O60</f>
        <v>#REF!</v>
      </c>
      <c r="Q76" s="166" t="e">
        <f>P59</f>
        <v>#REF!</v>
      </c>
      <c r="R76" s="166" t="e">
        <f>Q59</f>
        <v>#REF!</v>
      </c>
      <c r="S76" s="166" t="str">
        <f t="shared" si="13"/>
        <v> </v>
      </c>
      <c r="T76" s="197"/>
      <c r="U76" s="198"/>
    </row>
    <row r="77" spans="8:21" ht="10.5">
      <c r="H77" s="256"/>
      <c r="I77" s="164" t="s">
        <v>412</v>
      </c>
      <c r="J77" s="165" t="e">
        <f t="shared" si="26"/>
        <v>#REF!</v>
      </c>
      <c r="K77" s="166" t="e">
        <f>K73&amp;$S77&amp;ActYear_m1Y</f>
        <v>#REF!</v>
      </c>
      <c r="L77" s="166" t="e">
        <f t="shared" si="28"/>
        <v>#REF!</v>
      </c>
      <c r="M77" s="166" t="e">
        <f t="shared" si="28"/>
        <v>#REF!</v>
      </c>
      <c r="N77" s="166" t="e">
        <f t="shared" si="28"/>
        <v>#REF!</v>
      </c>
      <c r="O77" s="166" t="e">
        <f>O73&amp;$S77&amp;ActYear_m1Y</f>
        <v>#REF!</v>
      </c>
      <c r="P77" s="166" t="e">
        <f t="shared" si="29"/>
        <v>#REF!</v>
      </c>
      <c r="Q77" s="166" t="e">
        <f t="shared" si="29"/>
        <v>#REF!</v>
      </c>
      <c r="R77" s="166" t="e">
        <f t="shared" si="29"/>
        <v>#REF!</v>
      </c>
      <c r="S77" s="166" t="str">
        <f t="shared" si="13"/>
        <v> </v>
      </c>
      <c r="T77" s="197"/>
      <c r="U77" s="198"/>
    </row>
    <row r="78" spans="8:21" ht="10.5" thickBot="1">
      <c r="H78" s="256"/>
      <c r="I78" s="170" t="s">
        <v>413</v>
      </c>
      <c r="J78" s="171" t="e">
        <f t="shared" si="26"/>
        <v>#REF!</v>
      </c>
      <c r="K78" s="172" t="e">
        <f>K73&amp;$S78&amp;ActY_m1Y</f>
        <v>#REF!</v>
      </c>
      <c r="L78" s="172" t="e">
        <f t="shared" si="28"/>
        <v>#REF!</v>
      </c>
      <c r="M78" s="172" t="e">
        <f t="shared" si="28"/>
        <v>#REF!</v>
      </c>
      <c r="N78" s="172" t="e">
        <f t="shared" si="28"/>
        <v>#REF!</v>
      </c>
      <c r="O78" s="172" t="e">
        <f>O73&amp;$S78&amp;ActY_m1Y</f>
        <v>#REF!</v>
      </c>
      <c r="P78" s="172" t="e">
        <f t="shared" si="29"/>
        <v>#REF!</v>
      </c>
      <c r="Q78" s="172" t="e">
        <f t="shared" si="29"/>
        <v>#REF!</v>
      </c>
      <c r="R78" s="172" t="e">
        <f t="shared" si="29"/>
        <v>#REF!</v>
      </c>
      <c r="S78" s="172" t="str">
        <f t="shared" si="13"/>
        <v> </v>
      </c>
      <c r="T78" s="202"/>
      <c r="U78" s="203"/>
    </row>
    <row r="79" spans="8:21" ht="10.5">
      <c r="H79" s="256"/>
      <c r="I79" s="176" t="s">
        <v>414</v>
      </c>
      <c r="J79" s="177" t="e">
        <f t="shared" si="26"/>
        <v>#REF!</v>
      </c>
      <c r="K79" s="204" t="str">
        <f>N63</f>
        <v>03</v>
      </c>
      <c r="L79" s="204" t="str">
        <f t="shared" si="28"/>
        <v>06</v>
      </c>
      <c r="M79" s="204" t="str">
        <f t="shared" si="28"/>
        <v>09</v>
      </c>
      <c r="N79" s="204" t="str">
        <f t="shared" si="28"/>
        <v>12</v>
      </c>
      <c r="O79" s="204" t="str">
        <f>R63</f>
        <v>03</v>
      </c>
      <c r="P79" s="204" t="str">
        <f t="shared" si="29"/>
        <v>06</v>
      </c>
      <c r="Q79" s="204" t="str">
        <f t="shared" si="29"/>
        <v>09</v>
      </c>
      <c r="R79" s="204" t="str">
        <f t="shared" si="29"/>
        <v>12</v>
      </c>
      <c r="S79" s="186">
        <f t="shared" si="13"/>
      </c>
      <c r="T79" s="205"/>
      <c r="U79" s="206"/>
    </row>
    <row r="80" spans="8:21" ht="10.5" thickBot="1">
      <c r="H80" s="256"/>
      <c r="I80" s="170" t="s">
        <v>415</v>
      </c>
      <c r="J80" s="171" t="e">
        <f t="shared" si="26"/>
        <v>#REF!</v>
      </c>
      <c r="K80" s="172" t="e">
        <f>ActYear_m1Y&amp;$S80&amp;K79</f>
        <v>#REF!</v>
      </c>
      <c r="L80" s="172" t="e">
        <f t="shared" si="28"/>
        <v>#REF!</v>
      </c>
      <c r="M80" s="172" t="e">
        <f t="shared" si="28"/>
        <v>#REF!</v>
      </c>
      <c r="N80" s="172" t="e">
        <f t="shared" si="28"/>
        <v>#REF!</v>
      </c>
      <c r="O80" s="172" t="e">
        <f>ActYear_m1Y&amp;$S80&amp;O79</f>
        <v>#REF!</v>
      </c>
      <c r="P80" s="172" t="e">
        <f t="shared" si="29"/>
        <v>#REF!</v>
      </c>
      <c r="Q80" s="172" t="e">
        <f t="shared" si="29"/>
        <v>#REF!</v>
      </c>
      <c r="R80" s="172" t="e">
        <f t="shared" si="29"/>
        <v>#REF!</v>
      </c>
      <c r="S80" s="172" t="str">
        <f t="shared" si="13"/>
        <v> </v>
      </c>
      <c r="T80" s="202"/>
      <c r="U80" s="203"/>
    </row>
    <row r="81" spans="8:21" ht="10.5">
      <c r="H81" s="256"/>
      <c r="I81" s="176" t="s">
        <v>416</v>
      </c>
      <c r="J81" s="177" t="e">
        <f t="shared" si="26"/>
        <v>#REF!</v>
      </c>
      <c r="K81" s="186" t="str">
        <f>N65</f>
        <v>31 mar.</v>
      </c>
      <c r="L81" s="186" t="str">
        <f t="shared" si="28"/>
        <v>30 jun.</v>
      </c>
      <c r="M81" s="186" t="str">
        <f t="shared" si="28"/>
        <v>30 sep.</v>
      </c>
      <c r="N81" s="186" t="str">
        <f t="shared" si="28"/>
        <v>31 dec.</v>
      </c>
      <c r="O81" s="186" t="str">
        <f>R65</f>
        <v>Mar. 31</v>
      </c>
      <c r="P81" s="186" t="str">
        <f t="shared" si="29"/>
        <v>Jun. 30</v>
      </c>
      <c r="Q81" s="186" t="str">
        <f t="shared" si="29"/>
        <v>Sep. 30</v>
      </c>
      <c r="R81" s="186" t="str">
        <f t="shared" si="29"/>
        <v>Dec. 31</v>
      </c>
      <c r="S81" s="186">
        <f t="shared" si="13"/>
      </c>
      <c r="T81" s="205"/>
      <c r="U81" s="206"/>
    </row>
    <row r="82" spans="8:21" ht="10.5">
      <c r="H82" s="256"/>
      <c r="I82" s="164" t="s">
        <v>417</v>
      </c>
      <c r="J82" s="182" t="e">
        <f t="shared" si="26"/>
        <v>#REF!</v>
      </c>
      <c r="K82" s="183" t="e">
        <f>_XLL.SLUTMÅNAD(DATE(ActYear_m1Y,K79,1),0)</f>
        <v>#REF!</v>
      </c>
      <c r="L82" s="183" t="e">
        <f t="shared" si="28"/>
        <v>#REF!</v>
      </c>
      <c r="M82" s="183" t="e">
        <f t="shared" si="28"/>
        <v>#REF!</v>
      </c>
      <c r="N82" s="183" t="e">
        <f t="shared" si="28"/>
        <v>#REF!</v>
      </c>
      <c r="O82" s="183" t="e">
        <f>_XLL.SLUTMÅNAD(DATE(ActYear_m1Y,O79,1),0)</f>
        <v>#REF!</v>
      </c>
      <c r="P82" s="183" t="e">
        <f t="shared" si="29"/>
        <v>#REF!</v>
      </c>
      <c r="Q82" s="183" t="e">
        <f t="shared" si="29"/>
        <v>#REF!</v>
      </c>
      <c r="R82" s="183" t="e">
        <f t="shared" si="29"/>
        <v>#REF!</v>
      </c>
      <c r="S82" s="166">
        <f t="shared" si="13"/>
      </c>
      <c r="T82" s="197"/>
      <c r="U82" s="198"/>
    </row>
    <row r="83" spans="8:21" ht="10.5">
      <c r="H83" s="256"/>
      <c r="I83" s="164" t="s">
        <v>418</v>
      </c>
      <c r="J83" s="165" t="e">
        <f t="shared" si="26"/>
        <v>#REF!</v>
      </c>
      <c r="K83" s="166" t="e">
        <f>K81&amp;$S83&amp;ActYear_m1Y</f>
        <v>#REF!</v>
      </c>
      <c r="L83" s="166" t="e">
        <f t="shared" si="28"/>
        <v>#REF!</v>
      </c>
      <c r="M83" s="166" t="e">
        <f t="shared" si="28"/>
        <v>#REF!</v>
      </c>
      <c r="N83" s="166" t="e">
        <f t="shared" si="28"/>
        <v>#REF!</v>
      </c>
      <c r="O83" s="166" t="e">
        <f>O81&amp;","&amp;$S83&amp;ActYear_m1Y</f>
        <v>#REF!</v>
      </c>
      <c r="P83" s="166" t="e">
        <f t="shared" si="29"/>
        <v>#REF!</v>
      </c>
      <c r="Q83" s="166" t="e">
        <f t="shared" si="29"/>
        <v>#REF!</v>
      </c>
      <c r="R83" s="166" t="e">
        <f t="shared" si="29"/>
        <v>#REF!</v>
      </c>
      <c r="S83" s="166" t="str">
        <f t="shared" si="13"/>
        <v> </v>
      </c>
      <c r="T83" s="197"/>
      <c r="U83" s="198"/>
    </row>
    <row r="84" spans="8:21" ht="10.5" thickBot="1">
      <c r="H84" s="256"/>
      <c r="I84" s="170" t="s">
        <v>419</v>
      </c>
      <c r="J84" s="171" t="e">
        <f t="shared" si="26"/>
        <v>#REF!</v>
      </c>
      <c r="K84" s="172" t="e">
        <f>K81&amp;$S84&amp;ActY_m1Y</f>
        <v>#REF!</v>
      </c>
      <c r="L84" s="172" t="e">
        <f t="shared" si="28"/>
        <v>#REF!</v>
      </c>
      <c r="M84" s="172" t="e">
        <f t="shared" si="28"/>
        <v>#REF!</v>
      </c>
      <c r="N84" s="172" t="e">
        <f t="shared" si="28"/>
        <v>#REF!</v>
      </c>
      <c r="O84" s="172" t="e">
        <f>O81&amp;$S84&amp;ActY_m1Y</f>
        <v>#REF!</v>
      </c>
      <c r="P84" s="172" t="e">
        <f t="shared" si="29"/>
        <v>#REF!</v>
      </c>
      <c r="Q84" s="172" t="e">
        <f t="shared" si="29"/>
        <v>#REF!</v>
      </c>
      <c r="R84" s="172" t="e">
        <f t="shared" si="29"/>
        <v>#REF!</v>
      </c>
      <c r="S84" s="172" t="str">
        <f t="shared" si="13"/>
        <v> </v>
      </c>
      <c r="T84" s="202"/>
      <c r="U84" s="203"/>
    </row>
    <row r="85" spans="8:21" ht="10.5">
      <c r="H85" s="256"/>
      <c r="I85" s="176" t="s">
        <v>420</v>
      </c>
      <c r="J85" s="177" t="e">
        <f t="shared" si="26"/>
        <v>#REF!</v>
      </c>
      <c r="K85" s="186" t="e">
        <f>K87&amp;$S85&amp;ActYear_m1Y</f>
        <v>#REF!</v>
      </c>
      <c r="L85" s="186" t="e">
        <f t="shared" si="28"/>
        <v>#REF!</v>
      </c>
      <c r="M85" s="186" t="e">
        <f t="shared" si="28"/>
        <v>#REF!</v>
      </c>
      <c r="N85" s="186" t="e">
        <f t="shared" si="28"/>
        <v>#REF!</v>
      </c>
      <c r="O85" s="186" t="e">
        <f>O87&amp;$S85&amp;ActYear_m1Y</f>
        <v>#REF!</v>
      </c>
      <c r="P85" s="186" t="e">
        <f t="shared" si="29"/>
        <v>#REF!</v>
      </c>
      <c r="Q85" s="186" t="e">
        <f t="shared" si="29"/>
        <v>#REF!</v>
      </c>
      <c r="R85" s="186" t="e">
        <f t="shared" si="29"/>
        <v>#REF!</v>
      </c>
      <c r="S85" s="186" t="str">
        <f t="shared" si="13"/>
        <v> </v>
      </c>
      <c r="T85" s="205"/>
      <c r="U85" s="206"/>
    </row>
    <row r="86" spans="8:21" ht="10.5" thickBot="1">
      <c r="H86" s="256"/>
      <c r="I86" s="170" t="s">
        <v>421</v>
      </c>
      <c r="J86" s="171" t="e">
        <f t="shared" si="26"/>
        <v>#REF!</v>
      </c>
      <c r="K86" s="172" t="e">
        <f>K87&amp;$S85&amp;ActY_m1Y</f>
        <v>#REF!</v>
      </c>
      <c r="L86" s="172" t="e">
        <f t="shared" si="28"/>
        <v>#REF!</v>
      </c>
      <c r="M86" s="172" t="e">
        <f t="shared" si="28"/>
        <v>#REF!</v>
      </c>
      <c r="N86" s="172" t="e">
        <f t="shared" si="28"/>
        <v>#REF!</v>
      </c>
      <c r="O86" s="172" t="e">
        <f>O87&amp;$S85&amp;ActY_m1Y</f>
        <v>#REF!</v>
      </c>
      <c r="P86" s="172" t="e">
        <f t="shared" si="29"/>
        <v>#REF!</v>
      </c>
      <c r="Q86" s="172" t="e">
        <f t="shared" si="29"/>
        <v>#REF!</v>
      </c>
      <c r="R86" s="172" t="e">
        <f t="shared" si="29"/>
        <v>#REF!</v>
      </c>
      <c r="S86" s="172">
        <f t="shared" si="13"/>
      </c>
      <c r="T86" s="202"/>
      <c r="U86" s="203"/>
    </row>
    <row r="87" spans="8:21" ht="10.5">
      <c r="H87" s="256"/>
      <c r="I87" s="176" t="s">
        <v>422</v>
      </c>
      <c r="J87" s="177" t="e">
        <f t="shared" si="26"/>
        <v>#REF!</v>
      </c>
      <c r="K87" s="186" t="str">
        <f>N71</f>
        <v>jan-mar</v>
      </c>
      <c r="L87" s="186" t="str">
        <f t="shared" si="28"/>
        <v>apr-jun</v>
      </c>
      <c r="M87" s="186" t="str">
        <f t="shared" si="28"/>
        <v>jul-sep</v>
      </c>
      <c r="N87" s="186" t="str">
        <f t="shared" si="28"/>
        <v>okt-dec</v>
      </c>
      <c r="O87" s="186" t="str">
        <f>R71</f>
        <v>Jan-Mar</v>
      </c>
      <c r="P87" s="186" t="str">
        <f t="shared" si="29"/>
        <v>Apr-Jun</v>
      </c>
      <c r="Q87" s="186" t="str">
        <f t="shared" si="29"/>
        <v>Jul-Sep</v>
      </c>
      <c r="R87" s="186" t="str">
        <f t="shared" si="29"/>
        <v>Oct-Dec</v>
      </c>
      <c r="S87" s="186">
        <f t="shared" si="13"/>
      </c>
      <c r="T87" s="205"/>
      <c r="U87" s="206"/>
    </row>
    <row r="88" spans="8:21" ht="10.5" thickBot="1">
      <c r="H88" s="257"/>
      <c r="I88" s="208" t="s">
        <v>423</v>
      </c>
      <c r="J88" s="209" t="e">
        <f t="shared" si="26"/>
        <v>#REF!</v>
      </c>
      <c r="K88" s="210" t="str">
        <f>N72</f>
        <v>jan-mar</v>
      </c>
      <c r="L88" s="210" t="str">
        <f t="shared" si="28"/>
        <v>jan-jun</v>
      </c>
      <c r="M88" s="210" t="str">
        <f t="shared" si="28"/>
        <v>jan-sep</v>
      </c>
      <c r="N88" s="210" t="str">
        <f t="shared" si="28"/>
        <v>jan-dec</v>
      </c>
      <c r="O88" s="210" t="str">
        <f>R72</f>
        <v>Jan-Mar</v>
      </c>
      <c r="P88" s="210" t="str">
        <f t="shared" si="29"/>
        <v>Jan-Jun</v>
      </c>
      <c r="Q88" s="210" t="str">
        <f t="shared" si="29"/>
        <v>Jan-Sep</v>
      </c>
      <c r="R88" s="210" t="str">
        <f t="shared" si="29"/>
        <v>Jan-Dec</v>
      </c>
      <c r="S88" s="210">
        <f t="shared" si="13"/>
      </c>
      <c r="T88" s="211"/>
      <c r="U88" s="212"/>
    </row>
    <row r="89" spans="8:21" ht="10.5" thickTop="1">
      <c r="H89" s="255" t="s">
        <v>424</v>
      </c>
      <c r="I89" s="190" t="s">
        <v>425</v>
      </c>
      <c r="J89" s="191" t="e">
        <f t="shared" si="26"/>
        <v>#REF!</v>
      </c>
      <c r="K89" s="192">
        <f>N73</f>
        <v>4</v>
      </c>
      <c r="L89" s="192">
        <f t="shared" si="28"/>
        <v>1</v>
      </c>
      <c r="M89" s="192">
        <f t="shared" si="28"/>
        <v>2</v>
      </c>
      <c r="N89" s="192">
        <f t="shared" si="28"/>
        <v>3</v>
      </c>
      <c r="O89" s="192">
        <f>R73</f>
        <v>4</v>
      </c>
      <c r="P89" s="192">
        <f t="shared" si="29"/>
        <v>1</v>
      </c>
      <c r="Q89" s="192">
        <f t="shared" si="29"/>
        <v>2</v>
      </c>
      <c r="R89" s="192">
        <f t="shared" si="29"/>
        <v>3</v>
      </c>
      <c r="S89" s="192">
        <f aca="true" t="shared" si="30" ref="S89:S152">IF(S73="","",S73)</f>
      </c>
      <c r="T89" s="193"/>
      <c r="U89" s="194"/>
    </row>
    <row r="90" spans="8:21" ht="10.5">
      <c r="H90" s="256"/>
      <c r="I90" s="164" t="s">
        <v>426</v>
      </c>
      <c r="J90" s="165" t="e">
        <f t="shared" si="26"/>
        <v>#REF!</v>
      </c>
      <c r="K90" s="166" t="str">
        <f aca="true" t="shared" si="31" ref="K90:R90">"Q"&amp;K89</f>
        <v>Q4</v>
      </c>
      <c r="L90" s="166" t="str">
        <f t="shared" si="31"/>
        <v>Q1</v>
      </c>
      <c r="M90" s="166" t="str">
        <f t="shared" si="31"/>
        <v>Q2</v>
      </c>
      <c r="N90" s="166" t="str">
        <f t="shared" si="31"/>
        <v>Q3</v>
      </c>
      <c r="O90" s="166" t="str">
        <f t="shared" si="31"/>
        <v>Q4</v>
      </c>
      <c r="P90" s="166" t="str">
        <f t="shared" si="31"/>
        <v>Q1</v>
      </c>
      <c r="Q90" s="166" t="str">
        <f t="shared" si="31"/>
        <v>Q2</v>
      </c>
      <c r="R90" s="166" t="str">
        <f t="shared" si="31"/>
        <v>Q3</v>
      </c>
      <c r="S90" s="166">
        <f t="shared" si="30"/>
      </c>
      <c r="T90" s="197"/>
      <c r="U90" s="198"/>
    </row>
    <row r="91" spans="8:21" ht="10.5">
      <c r="H91" s="256"/>
      <c r="I91" s="164" t="s">
        <v>427</v>
      </c>
      <c r="J91" s="165" t="e">
        <f t="shared" si="26"/>
        <v>#REF!</v>
      </c>
      <c r="K91" s="166" t="e">
        <f>K90&amp;$S91&amp;ActYear_m2Y</f>
        <v>#REF!</v>
      </c>
      <c r="L91" s="166" t="e">
        <f aca="true" t="shared" si="32" ref="L91:N105">K75</f>
        <v>#REF!</v>
      </c>
      <c r="M91" s="166" t="e">
        <f t="shared" si="32"/>
        <v>#REF!</v>
      </c>
      <c r="N91" s="166" t="e">
        <f t="shared" si="32"/>
        <v>#REF!</v>
      </c>
      <c r="O91" s="166" t="e">
        <f>O90&amp;$S91&amp;ActYear_m2Y</f>
        <v>#REF!</v>
      </c>
      <c r="P91" s="166" t="e">
        <f>O75</f>
        <v>#REF!</v>
      </c>
      <c r="Q91" s="166" t="e">
        <f>P75</f>
        <v>#REF!</v>
      </c>
      <c r="R91" s="166" t="e">
        <f>Q75</f>
        <v>#REF!</v>
      </c>
      <c r="S91" s="166" t="str">
        <f t="shared" si="30"/>
        <v> </v>
      </c>
      <c r="T91" s="197"/>
      <c r="U91" s="198"/>
    </row>
    <row r="92" spans="8:21" ht="10.5">
      <c r="H92" s="256"/>
      <c r="I92" s="164" t="s">
        <v>428</v>
      </c>
      <c r="J92" s="165" t="e">
        <f t="shared" si="26"/>
        <v>#REF!</v>
      </c>
      <c r="K92" s="166" t="e">
        <f>K90&amp;$S92&amp;ActY_m2Y</f>
        <v>#REF!</v>
      </c>
      <c r="L92" s="166" t="e">
        <f t="shared" si="32"/>
        <v>#REF!</v>
      </c>
      <c r="M92" s="166" t="e">
        <f t="shared" si="32"/>
        <v>#REF!</v>
      </c>
      <c r="N92" s="166" t="e">
        <f t="shared" si="32"/>
        <v>#REF!</v>
      </c>
      <c r="O92" s="166" t="e">
        <f>O90&amp;$S92&amp;ActY_m2Y</f>
        <v>#REF!</v>
      </c>
      <c r="P92" s="166" t="e">
        <f aca="true" t="shared" si="33" ref="P92:R105">O76</f>
        <v>#REF!</v>
      </c>
      <c r="Q92" s="166" t="e">
        <f>P75</f>
        <v>#REF!</v>
      </c>
      <c r="R92" s="166" t="e">
        <f>Q75</f>
        <v>#REF!</v>
      </c>
      <c r="S92" s="166" t="str">
        <f t="shared" si="30"/>
        <v> </v>
      </c>
      <c r="T92" s="197"/>
      <c r="U92" s="198"/>
    </row>
    <row r="93" spans="8:21" ht="10.5">
      <c r="H93" s="256"/>
      <c r="I93" s="164" t="s">
        <v>429</v>
      </c>
      <c r="J93" s="165" t="e">
        <f t="shared" si="26"/>
        <v>#REF!</v>
      </c>
      <c r="K93" s="166" t="e">
        <f>K89&amp;$S93&amp;ActYear_m2Y</f>
        <v>#REF!</v>
      </c>
      <c r="L93" s="166" t="e">
        <f t="shared" si="32"/>
        <v>#REF!</v>
      </c>
      <c r="M93" s="166" t="e">
        <f t="shared" si="32"/>
        <v>#REF!</v>
      </c>
      <c r="N93" s="166" t="e">
        <f t="shared" si="32"/>
        <v>#REF!</v>
      </c>
      <c r="O93" s="166" t="e">
        <f>O89&amp;$S93&amp;ActYear_m2Y</f>
        <v>#REF!</v>
      </c>
      <c r="P93" s="166" t="e">
        <f t="shared" si="33"/>
        <v>#REF!</v>
      </c>
      <c r="Q93" s="166" t="e">
        <f t="shared" si="33"/>
        <v>#REF!</v>
      </c>
      <c r="R93" s="166" t="e">
        <f t="shared" si="33"/>
        <v>#REF!</v>
      </c>
      <c r="S93" s="166" t="str">
        <f t="shared" si="30"/>
        <v> </v>
      </c>
      <c r="T93" s="197"/>
      <c r="U93" s="198"/>
    </row>
    <row r="94" spans="8:21" ht="10.5" thickBot="1">
      <c r="H94" s="256"/>
      <c r="I94" s="170" t="s">
        <v>430</v>
      </c>
      <c r="J94" s="171" t="e">
        <f t="shared" si="26"/>
        <v>#REF!</v>
      </c>
      <c r="K94" s="172" t="e">
        <f>K89&amp;$S94&amp;ActY_m2Y</f>
        <v>#REF!</v>
      </c>
      <c r="L94" s="172" t="e">
        <f t="shared" si="32"/>
        <v>#REF!</v>
      </c>
      <c r="M94" s="172" t="e">
        <f t="shared" si="32"/>
        <v>#REF!</v>
      </c>
      <c r="N94" s="172" t="e">
        <f t="shared" si="32"/>
        <v>#REF!</v>
      </c>
      <c r="O94" s="172" t="e">
        <f>O89&amp;$S94&amp;ActY_m2Y</f>
        <v>#REF!</v>
      </c>
      <c r="P94" s="172" t="e">
        <f t="shared" si="33"/>
        <v>#REF!</v>
      </c>
      <c r="Q94" s="172" t="e">
        <f t="shared" si="33"/>
        <v>#REF!</v>
      </c>
      <c r="R94" s="172" t="e">
        <f t="shared" si="33"/>
        <v>#REF!</v>
      </c>
      <c r="S94" s="172" t="str">
        <f t="shared" si="30"/>
        <v> </v>
      </c>
      <c r="T94" s="202"/>
      <c r="U94" s="203"/>
    </row>
    <row r="95" spans="8:21" ht="10.5">
      <c r="H95" s="256"/>
      <c r="I95" s="176" t="s">
        <v>431</v>
      </c>
      <c r="J95" s="177" t="e">
        <f t="shared" si="26"/>
        <v>#REF!</v>
      </c>
      <c r="K95" s="204" t="str">
        <f>N79</f>
        <v>12</v>
      </c>
      <c r="L95" s="204" t="str">
        <f t="shared" si="32"/>
        <v>03</v>
      </c>
      <c r="M95" s="204" t="str">
        <f t="shared" si="32"/>
        <v>06</v>
      </c>
      <c r="N95" s="204" t="str">
        <f t="shared" si="32"/>
        <v>09</v>
      </c>
      <c r="O95" s="204" t="str">
        <f>R79</f>
        <v>12</v>
      </c>
      <c r="P95" s="204" t="str">
        <f t="shared" si="33"/>
        <v>03</v>
      </c>
      <c r="Q95" s="204" t="str">
        <f t="shared" si="33"/>
        <v>06</v>
      </c>
      <c r="R95" s="204" t="str">
        <f t="shared" si="33"/>
        <v>09</v>
      </c>
      <c r="S95" s="186">
        <f t="shared" si="30"/>
      </c>
      <c r="T95" s="205"/>
      <c r="U95" s="206"/>
    </row>
    <row r="96" spans="8:21" ht="10.5" thickBot="1">
      <c r="H96" s="256"/>
      <c r="I96" s="170" t="s">
        <v>432</v>
      </c>
      <c r="J96" s="171" t="e">
        <f t="shared" si="26"/>
        <v>#REF!</v>
      </c>
      <c r="K96" s="172" t="e">
        <f>ActYear_m2Y&amp;$S96&amp;K95</f>
        <v>#REF!</v>
      </c>
      <c r="L96" s="172" t="e">
        <f t="shared" si="32"/>
        <v>#REF!</v>
      </c>
      <c r="M96" s="172" t="e">
        <f t="shared" si="32"/>
        <v>#REF!</v>
      </c>
      <c r="N96" s="172" t="e">
        <f t="shared" si="32"/>
        <v>#REF!</v>
      </c>
      <c r="O96" s="172" t="e">
        <f>ActYear_m2Y&amp;$S96&amp;O95</f>
        <v>#REF!</v>
      </c>
      <c r="P96" s="172" t="e">
        <f t="shared" si="33"/>
        <v>#REF!</v>
      </c>
      <c r="Q96" s="172" t="e">
        <f t="shared" si="33"/>
        <v>#REF!</v>
      </c>
      <c r="R96" s="172" t="e">
        <f t="shared" si="33"/>
        <v>#REF!</v>
      </c>
      <c r="S96" s="172" t="str">
        <f t="shared" si="30"/>
        <v> </v>
      </c>
      <c r="T96" s="202"/>
      <c r="U96" s="203"/>
    </row>
    <row r="97" spans="8:21" ht="10.5">
      <c r="H97" s="256"/>
      <c r="I97" s="176" t="s">
        <v>433</v>
      </c>
      <c r="J97" s="177" t="e">
        <f t="shared" si="26"/>
        <v>#REF!</v>
      </c>
      <c r="K97" s="186" t="str">
        <f>N81</f>
        <v>31 dec.</v>
      </c>
      <c r="L97" s="186" t="str">
        <f t="shared" si="32"/>
        <v>31 mar.</v>
      </c>
      <c r="M97" s="186" t="str">
        <f t="shared" si="32"/>
        <v>30 jun.</v>
      </c>
      <c r="N97" s="186" t="str">
        <f t="shared" si="32"/>
        <v>30 sep.</v>
      </c>
      <c r="O97" s="186" t="str">
        <f>R81</f>
        <v>Dec. 31</v>
      </c>
      <c r="P97" s="186" t="str">
        <f t="shared" si="33"/>
        <v>Mar. 31</v>
      </c>
      <c r="Q97" s="186" t="str">
        <f t="shared" si="33"/>
        <v>Jun. 30</v>
      </c>
      <c r="R97" s="186" t="str">
        <f t="shared" si="33"/>
        <v>Sep. 30</v>
      </c>
      <c r="S97" s="186">
        <f t="shared" si="30"/>
      </c>
      <c r="T97" s="205"/>
      <c r="U97" s="206"/>
    </row>
    <row r="98" spans="8:21" ht="10.5">
      <c r="H98" s="256"/>
      <c r="I98" s="164" t="s">
        <v>434</v>
      </c>
      <c r="J98" s="182" t="e">
        <f t="shared" si="26"/>
        <v>#REF!</v>
      </c>
      <c r="K98" s="183" t="e">
        <f>_XLL.SLUTMÅNAD(DATE(ActYear_m2Y,K95,1),0)</f>
        <v>#REF!</v>
      </c>
      <c r="L98" s="183" t="e">
        <f t="shared" si="32"/>
        <v>#REF!</v>
      </c>
      <c r="M98" s="183" t="e">
        <f t="shared" si="32"/>
        <v>#REF!</v>
      </c>
      <c r="N98" s="183" t="e">
        <f t="shared" si="32"/>
        <v>#REF!</v>
      </c>
      <c r="O98" s="183" t="e">
        <f>_XLL.SLUTMÅNAD(DATE(ActYear_m2Y,O95,1),0)</f>
        <v>#REF!</v>
      </c>
      <c r="P98" s="183" t="e">
        <f t="shared" si="33"/>
        <v>#REF!</v>
      </c>
      <c r="Q98" s="183" t="e">
        <f t="shared" si="33"/>
        <v>#REF!</v>
      </c>
      <c r="R98" s="183" t="e">
        <f t="shared" si="33"/>
        <v>#REF!</v>
      </c>
      <c r="S98" s="166">
        <f t="shared" si="30"/>
      </c>
      <c r="T98" s="197"/>
      <c r="U98" s="198"/>
    </row>
    <row r="99" spans="8:21" ht="10.5">
      <c r="H99" s="256"/>
      <c r="I99" s="164" t="s">
        <v>435</v>
      </c>
      <c r="J99" s="165" t="e">
        <f t="shared" si="26"/>
        <v>#REF!</v>
      </c>
      <c r="K99" s="166" t="e">
        <f>K97&amp;$S99&amp;ActYear_m2Y</f>
        <v>#REF!</v>
      </c>
      <c r="L99" s="166" t="e">
        <f t="shared" si="32"/>
        <v>#REF!</v>
      </c>
      <c r="M99" s="166" t="e">
        <f t="shared" si="32"/>
        <v>#REF!</v>
      </c>
      <c r="N99" s="166" t="e">
        <f t="shared" si="32"/>
        <v>#REF!</v>
      </c>
      <c r="O99" s="166" t="e">
        <f>O97&amp;","&amp;$S99&amp;ActYear_m2Y</f>
        <v>#REF!</v>
      </c>
      <c r="P99" s="166" t="e">
        <f t="shared" si="33"/>
        <v>#REF!</v>
      </c>
      <c r="Q99" s="166" t="e">
        <f t="shared" si="33"/>
        <v>#REF!</v>
      </c>
      <c r="R99" s="166" t="e">
        <f t="shared" si="33"/>
        <v>#REF!</v>
      </c>
      <c r="S99" s="166" t="str">
        <f t="shared" si="30"/>
        <v> </v>
      </c>
      <c r="T99" s="197"/>
      <c r="U99" s="198"/>
    </row>
    <row r="100" spans="8:21" ht="10.5" thickBot="1">
      <c r="H100" s="256"/>
      <c r="I100" s="170" t="s">
        <v>436</v>
      </c>
      <c r="J100" s="171" t="e">
        <f t="shared" si="26"/>
        <v>#REF!</v>
      </c>
      <c r="K100" s="172" t="e">
        <f>K97&amp;$S100&amp;ActY_m2Y</f>
        <v>#REF!</v>
      </c>
      <c r="L100" s="172" t="e">
        <f t="shared" si="32"/>
        <v>#REF!</v>
      </c>
      <c r="M100" s="172" t="e">
        <f t="shared" si="32"/>
        <v>#REF!</v>
      </c>
      <c r="N100" s="172" t="e">
        <f t="shared" si="32"/>
        <v>#REF!</v>
      </c>
      <c r="O100" s="172" t="e">
        <f>O97&amp;$S100&amp;ActY_m2Y</f>
        <v>#REF!</v>
      </c>
      <c r="P100" s="172" t="e">
        <f t="shared" si="33"/>
        <v>#REF!</v>
      </c>
      <c r="Q100" s="172" t="e">
        <f t="shared" si="33"/>
        <v>#REF!</v>
      </c>
      <c r="R100" s="172" t="e">
        <f t="shared" si="33"/>
        <v>#REF!</v>
      </c>
      <c r="S100" s="172" t="str">
        <f t="shared" si="30"/>
        <v> </v>
      </c>
      <c r="T100" s="202"/>
      <c r="U100" s="203"/>
    </row>
    <row r="101" spans="8:21" ht="10.5">
      <c r="H101" s="256"/>
      <c r="I101" s="176" t="s">
        <v>437</v>
      </c>
      <c r="J101" s="177" t="e">
        <f t="shared" si="26"/>
        <v>#REF!</v>
      </c>
      <c r="K101" s="186" t="e">
        <f>K103&amp;$S101&amp;ActYear_m2Y</f>
        <v>#REF!</v>
      </c>
      <c r="L101" s="186" t="e">
        <f t="shared" si="32"/>
        <v>#REF!</v>
      </c>
      <c r="M101" s="186" t="e">
        <f t="shared" si="32"/>
        <v>#REF!</v>
      </c>
      <c r="N101" s="186" t="e">
        <f t="shared" si="32"/>
        <v>#REF!</v>
      </c>
      <c r="O101" s="186" t="e">
        <f>O103&amp;$S101&amp;ActYear_m2Y</f>
        <v>#REF!</v>
      </c>
      <c r="P101" s="186" t="e">
        <f t="shared" si="33"/>
        <v>#REF!</v>
      </c>
      <c r="Q101" s="186" t="e">
        <f t="shared" si="33"/>
        <v>#REF!</v>
      </c>
      <c r="R101" s="186" t="e">
        <f t="shared" si="33"/>
        <v>#REF!</v>
      </c>
      <c r="S101" s="186" t="str">
        <f t="shared" si="30"/>
        <v> </v>
      </c>
      <c r="T101" s="205"/>
      <c r="U101" s="206"/>
    </row>
    <row r="102" spans="8:21" ht="10.5" thickBot="1">
      <c r="H102" s="256"/>
      <c r="I102" s="170" t="s">
        <v>438</v>
      </c>
      <c r="J102" s="171" t="e">
        <f t="shared" si="26"/>
        <v>#REF!</v>
      </c>
      <c r="K102" s="172" t="e">
        <f>K103&amp;$S101&amp;ActY_m2Y</f>
        <v>#REF!</v>
      </c>
      <c r="L102" s="172" t="e">
        <f t="shared" si="32"/>
        <v>#REF!</v>
      </c>
      <c r="M102" s="172" t="e">
        <f t="shared" si="32"/>
        <v>#REF!</v>
      </c>
      <c r="N102" s="172" t="e">
        <f t="shared" si="32"/>
        <v>#REF!</v>
      </c>
      <c r="O102" s="172" t="e">
        <f>O103&amp;$S101&amp;ActY_m2Y</f>
        <v>#REF!</v>
      </c>
      <c r="P102" s="172" t="e">
        <f t="shared" si="33"/>
        <v>#REF!</v>
      </c>
      <c r="Q102" s="172" t="e">
        <f t="shared" si="33"/>
        <v>#REF!</v>
      </c>
      <c r="R102" s="172" t="e">
        <f t="shared" si="33"/>
        <v>#REF!</v>
      </c>
      <c r="S102" s="172">
        <f t="shared" si="30"/>
      </c>
      <c r="T102" s="202"/>
      <c r="U102" s="203"/>
    </row>
    <row r="103" spans="8:21" ht="10.5">
      <c r="H103" s="256"/>
      <c r="I103" s="176" t="s">
        <v>439</v>
      </c>
      <c r="J103" s="177" t="e">
        <f aca="true" t="shared" si="34" ref="J103:J134">INDEX(K103:R103,,SelectIdx)</f>
        <v>#REF!</v>
      </c>
      <c r="K103" s="186" t="str">
        <f>N87</f>
        <v>okt-dec</v>
      </c>
      <c r="L103" s="186" t="str">
        <f t="shared" si="32"/>
        <v>jan-mar</v>
      </c>
      <c r="M103" s="186" t="str">
        <f t="shared" si="32"/>
        <v>apr-jun</v>
      </c>
      <c r="N103" s="186" t="str">
        <f t="shared" si="32"/>
        <v>jul-sep</v>
      </c>
      <c r="O103" s="186" t="str">
        <f>R87</f>
        <v>Oct-Dec</v>
      </c>
      <c r="P103" s="186" t="str">
        <f t="shared" si="33"/>
        <v>Jan-Mar</v>
      </c>
      <c r="Q103" s="186" t="str">
        <f t="shared" si="33"/>
        <v>Apr-Jun</v>
      </c>
      <c r="R103" s="186" t="str">
        <f t="shared" si="33"/>
        <v>Jul-Sep</v>
      </c>
      <c r="S103" s="186">
        <f t="shared" si="30"/>
      </c>
      <c r="T103" s="205"/>
      <c r="U103" s="206"/>
    </row>
    <row r="104" spans="8:21" ht="10.5" thickBot="1">
      <c r="H104" s="257"/>
      <c r="I104" s="208" t="s">
        <v>440</v>
      </c>
      <c r="J104" s="209" t="e">
        <f t="shared" si="34"/>
        <v>#REF!</v>
      </c>
      <c r="K104" s="210" t="str">
        <f>N88</f>
        <v>jan-dec</v>
      </c>
      <c r="L104" s="210" t="str">
        <f t="shared" si="32"/>
        <v>jan-mar</v>
      </c>
      <c r="M104" s="210" t="str">
        <f t="shared" si="32"/>
        <v>jan-jun</v>
      </c>
      <c r="N104" s="210" t="str">
        <f t="shared" si="32"/>
        <v>jan-sep</v>
      </c>
      <c r="O104" s="210" t="str">
        <f>R88</f>
        <v>Jan-Dec</v>
      </c>
      <c r="P104" s="210" t="str">
        <f t="shared" si="33"/>
        <v>Jan-Mar</v>
      </c>
      <c r="Q104" s="210" t="str">
        <f t="shared" si="33"/>
        <v>Jan-Jun</v>
      </c>
      <c r="R104" s="210" t="str">
        <f t="shared" si="33"/>
        <v>Jan-Sep</v>
      </c>
      <c r="S104" s="210">
        <f t="shared" si="30"/>
      </c>
      <c r="T104" s="211"/>
      <c r="U104" s="212"/>
    </row>
    <row r="105" spans="8:21" ht="10.5" thickTop="1">
      <c r="H105" s="255" t="s">
        <v>441</v>
      </c>
      <c r="I105" s="190" t="s">
        <v>442</v>
      </c>
      <c r="J105" s="191" t="e">
        <f t="shared" si="34"/>
        <v>#REF!</v>
      </c>
      <c r="K105" s="192">
        <f>N89</f>
        <v>3</v>
      </c>
      <c r="L105" s="192">
        <f t="shared" si="32"/>
        <v>4</v>
      </c>
      <c r="M105" s="192">
        <f t="shared" si="32"/>
        <v>1</v>
      </c>
      <c r="N105" s="192">
        <f t="shared" si="32"/>
        <v>2</v>
      </c>
      <c r="O105" s="192">
        <f>R89</f>
        <v>3</v>
      </c>
      <c r="P105" s="192">
        <f t="shared" si="33"/>
        <v>4</v>
      </c>
      <c r="Q105" s="192">
        <f t="shared" si="33"/>
        <v>1</v>
      </c>
      <c r="R105" s="192">
        <f t="shared" si="33"/>
        <v>2</v>
      </c>
      <c r="S105" s="192">
        <f t="shared" si="30"/>
      </c>
      <c r="T105" s="193"/>
      <c r="U105" s="194"/>
    </row>
    <row r="106" spans="8:21" ht="10.5">
      <c r="H106" s="256"/>
      <c r="I106" s="164" t="s">
        <v>443</v>
      </c>
      <c r="J106" s="165" t="e">
        <f t="shared" si="34"/>
        <v>#REF!</v>
      </c>
      <c r="K106" s="166" t="str">
        <f aca="true" t="shared" si="35" ref="K106:R106">"Q"&amp;K105</f>
        <v>Q3</v>
      </c>
      <c r="L106" s="166" t="str">
        <f t="shared" si="35"/>
        <v>Q4</v>
      </c>
      <c r="M106" s="166" t="str">
        <f t="shared" si="35"/>
        <v>Q1</v>
      </c>
      <c r="N106" s="166" t="str">
        <f t="shared" si="35"/>
        <v>Q2</v>
      </c>
      <c r="O106" s="166" t="str">
        <f t="shared" si="35"/>
        <v>Q3</v>
      </c>
      <c r="P106" s="166" t="str">
        <f t="shared" si="35"/>
        <v>Q4</v>
      </c>
      <c r="Q106" s="166" t="str">
        <f t="shared" si="35"/>
        <v>Q1</v>
      </c>
      <c r="R106" s="166" t="str">
        <f t="shared" si="35"/>
        <v>Q2</v>
      </c>
      <c r="S106" s="166">
        <f t="shared" si="30"/>
      </c>
      <c r="T106" s="197"/>
      <c r="U106" s="198"/>
    </row>
    <row r="107" spans="8:21" ht="10.5">
      <c r="H107" s="256"/>
      <c r="I107" s="164" t="s">
        <v>444</v>
      </c>
      <c r="J107" s="165" t="e">
        <f t="shared" si="34"/>
        <v>#REF!</v>
      </c>
      <c r="K107" s="166" t="e">
        <f>K106&amp;$S107&amp;ActYear_m2Y</f>
        <v>#REF!</v>
      </c>
      <c r="L107" s="166" t="e">
        <f aca="true" t="shared" si="36" ref="L107:N121">K91</f>
        <v>#REF!</v>
      </c>
      <c r="M107" s="166" t="e">
        <f t="shared" si="36"/>
        <v>#REF!</v>
      </c>
      <c r="N107" s="166" t="e">
        <f t="shared" si="36"/>
        <v>#REF!</v>
      </c>
      <c r="O107" s="166" t="e">
        <f>O106&amp;$S107&amp;ActYear_m2Y</f>
        <v>#REF!</v>
      </c>
      <c r="P107" s="166" t="e">
        <f>O91</f>
        <v>#REF!</v>
      </c>
      <c r="Q107" s="166" t="e">
        <f>P91</f>
        <v>#REF!</v>
      </c>
      <c r="R107" s="166" t="e">
        <f>Q91</f>
        <v>#REF!</v>
      </c>
      <c r="S107" s="166" t="str">
        <f t="shared" si="30"/>
        <v> </v>
      </c>
      <c r="T107" s="197"/>
      <c r="U107" s="198"/>
    </row>
    <row r="108" spans="8:21" ht="10.5">
      <c r="H108" s="256"/>
      <c r="I108" s="164" t="s">
        <v>445</v>
      </c>
      <c r="J108" s="165" t="e">
        <f t="shared" si="34"/>
        <v>#REF!</v>
      </c>
      <c r="K108" s="166" t="e">
        <f>K106&amp;$S108&amp;ActY_m2Y</f>
        <v>#REF!</v>
      </c>
      <c r="L108" s="166" t="e">
        <f t="shared" si="36"/>
        <v>#REF!</v>
      </c>
      <c r="M108" s="166" t="e">
        <f t="shared" si="36"/>
        <v>#REF!</v>
      </c>
      <c r="N108" s="166" t="e">
        <f t="shared" si="36"/>
        <v>#REF!</v>
      </c>
      <c r="O108" s="166" t="e">
        <f>O106&amp;$S108&amp;ActY_m2Y</f>
        <v>#REF!</v>
      </c>
      <c r="P108" s="166" t="e">
        <f aca="true" t="shared" si="37" ref="P108:R121">O92</f>
        <v>#REF!</v>
      </c>
      <c r="Q108" s="166" t="e">
        <f>P91</f>
        <v>#REF!</v>
      </c>
      <c r="R108" s="166" t="e">
        <f>Q91</f>
        <v>#REF!</v>
      </c>
      <c r="S108" s="166" t="str">
        <f t="shared" si="30"/>
        <v> </v>
      </c>
      <c r="T108" s="197"/>
      <c r="U108" s="198"/>
    </row>
    <row r="109" spans="8:21" ht="10.5">
      <c r="H109" s="256"/>
      <c r="I109" s="164" t="s">
        <v>446</v>
      </c>
      <c r="J109" s="165" t="e">
        <f t="shared" si="34"/>
        <v>#REF!</v>
      </c>
      <c r="K109" s="166" t="e">
        <f>K105&amp;$S109&amp;ActYear_m2Y</f>
        <v>#REF!</v>
      </c>
      <c r="L109" s="166" t="e">
        <f t="shared" si="36"/>
        <v>#REF!</v>
      </c>
      <c r="M109" s="166" t="e">
        <f t="shared" si="36"/>
        <v>#REF!</v>
      </c>
      <c r="N109" s="166" t="e">
        <f t="shared" si="36"/>
        <v>#REF!</v>
      </c>
      <c r="O109" s="166" t="e">
        <f>O105&amp;$S109&amp;ActYear_m2Y</f>
        <v>#REF!</v>
      </c>
      <c r="P109" s="166" t="e">
        <f t="shared" si="37"/>
        <v>#REF!</v>
      </c>
      <c r="Q109" s="166" t="e">
        <f t="shared" si="37"/>
        <v>#REF!</v>
      </c>
      <c r="R109" s="166" t="e">
        <f t="shared" si="37"/>
        <v>#REF!</v>
      </c>
      <c r="S109" s="166" t="str">
        <f t="shared" si="30"/>
        <v> </v>
      </c>
      <c r="T109" s="197"/>
      <c r="U109" s="198"/>
    </row>
    <row r="110" spans="8:21" ht="10.5" thickBot="1">
      <c r="H110" s="256"/>
      <c r="I110" s="170" t="s">
        <v>447</v>
      </c>
      <c r="J110" s="171" t="e">
        <f t="shared" si="34"/>
        <v>#REF!</v>
      </c>
      <c r="K110" s="172" t="e">
        <f>K105&amp;$S110&amp;ActY_m2Y</f>
        <v>#REF!</v>
      </c>
      <c r="L110" s="172" t="e">
        <f t="shared" si="36"/>
        <v>#REF!</v>
      </c>
      <c r="M110" s="172" t="e">
        <f t="shared" si="36"/>
        <v>#REF!</v>
      </c>
      <c r="N110" s="172" t="e">
        <f t="shared" si="36"/>
        <v>#REF!</v>
      </c>
      <c r="O110" s="172" t="e">
        <f>O105&amp;$S110&amp;ActY_m2Y</f>
        <v>#REF!</v>
      </c>
      <c r="P110" s="172" t="e">
        <f t="shared" si="37"/>
        <v>#REF!</v>
      </c>
      <c r="Q110" s="172" t="e">
        <f t="shared" si="37"/>
        <v>#REF!</v>
      </c>
      <c r="R110" s="172" t="e">
        <f t="shared" si="37"/>
        <v>#REF!</v>
      </c>
      <c r="S110" s="172" t="str">
        <f t="shared" si="30"/>
        <v> </v>
      </c>
      <c r="T110" s="202"/>
      <c r="U110" s="203"/>
    </row>
    <row r="111" spans="8:21" ht="10.5">
      <c r="H111" s="256"/>
      <c r="I111" s="176" t="s">
        <v>448</v>
      </c>
      <c r="J111" s="177" t="e">
        <f t="shared" si="34"/>
        <v>#REF!</v>
      </c>
      <c r="K111" s="204" t="str">
        <f>N95</f>
        <v>09</v>
      </c>
      <c r="L111" s="204" t="str">
        <f t="shared" si="36"/>
        <v>12</v>
      </c>
      <c r="M111" s="204" t="str">
        <f t="shared" si="36"/>
        <v>03</v>
      </c>
      <c r="N111" s="204" t="str">
        <f t="shared" si="36"/>
        <v>06</v>
      </c>
      <c r="O111" s="204" t="str">
        <f>R95</f>
        <v>09</v>
      </c>
      <c r="P111" s="204" t="str">
        <f t="shared" si="37"/>
        <v>12</v>
      </c>
      <c r="Q111" s="204" t="str">
        <f t="shared" si="37"/>
        <v>03</v>
      </c>
      <c r="R111" s="204" t="str">
        <f t="shared" si="37"/>
        <v>06</v>
      </c>
      <c r="S111" s="186">
        <f t="shared" si="30"/>
      </c>
      <c r="T111" s="205"/>
      <c r="U111" s="206"/>
    </row>
    <row r="112" spans="8:21" ht="10.5" thickBot="1">
      <c r="H112" s="256"/>
      <c r="I112" s="170" t="s">
        <v>449</v>
      </c>
      <c r="J112" s="171" t="e">
        <f t="shared" si="34"/>
        <v>#REF!</v>
      </c>
      <c r="K112" s="172" t="e">
        <f>ActYear_m2Y&amp;$S112&amp;K111</f>
        <v>#REF!</v>
      </c>
      <c r="L112" s="172" t="e">
        <f t="shared" si="36"/>
        <v>#REF!</v>
      </c>
      <c r="M112" s="172" t="e">
        <f t="shared" si="36"/>
        <v>#REF!</v>
      </c>
      <c r="N112" s="172" t="e">
        <f t="shared" si="36"/>
        <v>#REF!</v>
      </c>
      <c r="O112" s="172" t="e">
        <f>ActYear_m2Y&amp;$S112&amp;O111</f>
        <v>#REF!</v>
      </c>
      <c r="P112" s="172" t="e">
        <f t="shared" si="37"/>
        <v>#REF!</v>
      </c>
      <c r="Q112" s="172" t="e">
        <f t="shared" si="37"/>
        <v>#REF!</v>
      </c>
      <c r="R112" s="172" t="e">
        <f t="shared" si="37"/>
        <v>#REF!</v>
      </c>
      <c r="S112" s="172" t="str">
        <f t="shared" si="30"/>
        <v> </v>
      </c>
      <c r="T112" s="202"/>
      <c r="U112" s="203"/>
    </row>
    <row r="113" spans="8:21" ht="10.5">
      <c r="H113" s="256"/>
      <c r="I113" s="176" t="s">
        <v>450</v>
      </c>
      <c r="J113" s="177" t="e">
        <f t="shared" si="34"/>
        <v>#REF!</v>
      </c>
      <c r="K113" s="186" t="str">
        <f>N97</f>
        <v>30 sep.</v>
      </c>
      <c r="L113" s="186" t="str">
        <f t="shared" si="36"/>
        <v>31 dec.</v>
      </c>
      <c r="M113" s="186" t="str">
        <f t="shared" si="36"/>
        <v>31 mar.</v>
      </c>
      <c r="N113" s="186" t="str">
        <f t="shared" si="36"/>
        <v>30 jun.</v>
      </c>
      <c r="O113" s="186" t="str">
        <f>R97</f>
        <v>Sep. 30</v>
      </c>
      <c r="P113" s="186" t="str">
        <f t="shared" si="37"/>
        <v>Dec. 31</v>
      </c>
      <c r="Q113" s="186" t="str">
        <f t="shared" si="37"/>
        <v>Mar. 31</v>
      </c>
      <c r="R113" s="186" t="str">
        <f t="shared" si="37"/>
        <v>Jun. 30</v>
      </c>
      <c r="S113" s="186">
        <f t="shared" si="30"/>
      </c>
      <c r="T113" s="205"/>
      <c r="U113" s="206"/>
    </row>
    <row r="114" spans="8:21" ht="10.5">
      <c r="H114" s="256"/>
      <c r="I114" s="164" t="s">
        <v>451</v>
      </c>
      <c r="J114" s="182" t="e">
        <f t="shared" si="34"/>
        <v>#REF!</v>
      </c>
      <c r="K114" s="183" t="e">
        <f>_XLL.SLUTMÅNAD(DATE(ActYear_m2Y,K111,1),0)</f>
        <v>#REF!</v>
      </c>
      <c r="L114" s="183" t="e">
        <f t="shared" si="36"/>
        <v>#REF!</v>
      </c>
      <c r="M114" s="183" t="e">
        <f t="shared" si="36"/>
        <v>#REF!</v>
      </c>
      <c r="N114" s="183" t="e">
        <f t="shared" si="36"/>
        <v>#REF!</v>
      </c>
      <c r="O114" s="183" t="e">
        <f>_XLL.SLUTMÅNAD(DATE(ActYear_m2Y,O111,1),0)</f>
        <v>#REF!</v>
      </c>
      <c r="P114" s="183" t="e">
        <f t="shared" si="37"/>
        <v>#REF!</v>
      </c>
      <c r="Q114" s="183" t="e">
        <f t="shared" si="37"/>
        <v>#REF!</v>
      </c>
      <c r="R114" s="183" t="e">
        <f t="shared" si="37"/>
        <v>#REF!</v>
      </c>
      <c r="S114" s="166">
        <f t="shared" si="30"/>
      </c>
      <c r="T114" s="197"/>
      <c r="U114" s="198"/>
    </row>
    <row r="115" spans="8:21" ht="10.5">
      <c r="H115" s="256"/>
      <c r="I115" s="164" t="s">
        <v>452</v>
      </c>
      <c r="J115" s="165" t="e">
        <f t="shared" si="34"/>
        <v>#REF!</v>
      </c>
      <c r="K115" s="166" t="e">
        <f>K113&amp;$S115&amp;ActYear_m2Y</f>
        <v>#REF!</v>
      </c>
      <c r="L115" s="166" t="e">
        <f t="shared" si="36"/>
        <v>#REF!</v>
      </c>
      <c r="M115" s="166" t="e">
        <f t="shared" si="36"/>
        <v>#REF!</v>
      </c>
      <c r="N115" s="166" t="e">
        <f t="shared" si="36"/>
        <v>#REF!</v>
      </c>
      <c r="O115" s="166" t="e">
        <f>O113&amp;","&amp;$S115&amp;ActYear_m2Y</f>
        <v>#REF!</v>
      </c>
      <c r="P115" s="166" t="e">
        <f t="shared" si="37"/>
        <v>#REF!</v>
      </c>
      <c r="Q115" s="166" t="e">
        <f t="shared" si="37"/>
        <v>#REF!</v>
      </c>
      <c r="R115" s="166" t="e">
        <f t="shared" si="37"/>
        <v>#REF!</v>
      </c>
      <c r="S115" s="166" t="str">
        <f t="shared" si="30"/>
        <v> </v>
      </c>
      <c r="T115" s="197"/>
      <c r="U115" s="198"/>
    </row>
    <row r="116" spans="8:21" ht="10.5" thickBot="1">
      <c r="H116" s="256"/>
      <c r="I116" s="170" t="s">
        <v>453</v>
      </c>
      <c r="J116" s="171" t="e">
        <f t="shared" si="34"/>
        <v>#REF!</v>
      </c>
      <c r="K116" s="172" t="e">
        <f>K113&amp;$S116&amp;ActY_m2Y</f>
        <v>#REF!</v>
      </c>
      <c r="L116" s="172" t="e">
        <f t="shared" si="36"/>
        <v>#REF!</v>
      </c>
      <c r="M116" s="172" t="e">
        <f t="shared" si="36"/>
        <v>#REF!</v>
      </c>
      <c r="N116" s="172" t="e">
        <f t="shared" si="36"/>
        <v>#REF!</v>
      </c>
      <c r="O116" s="172" t="e">
        <f>O113&amp;$S116&amp;ActY_m2Y</f>
        <v>#REF!</v>
      </c>
      <c r="P116" s="172" t="e">
        <f t="shared" si="37"/>
        <v>#REF!</v>
      </c>
      <c r="Q116" s="172" t="e">
        <f t="shared" si="37"/>
        <v>#REF!</v>
      </c>
      <c r="R116" s="172" t="e">
        <f t="shared" si="37"/>
        <v>#REF!</v>
      </c>
      <c r="S116" s="172" t="str">
        <f t="shared" si="30"/>
        <v> </v>
      </c>
      <c r="T116" s="202"/>
      <c r="U116" s="203"/>
    </row>
    <row r="117" spans="8:21" ht="10.5">
      <c r="H117" s="256"/>
      <c r="I117" s="176" t="s">
        <v>454</v>
      </c>
      <c r="J117" s="177" t="e">
        <f t="shared" si="34"/>
        <v>#REF!</v>
      </c>
      <c r="K117" s="186" t="e">
        <f>K119&amp;$S117&amp;ActYear_m2Y</f>
        <v>#REF!</v>
      </c>
      <c r="L117" s="186" t="e">
        <f t="shared" si="36"/>
        <v>#REF!</v>
      </c>
      <c r="M117" s="186" t="e">
        <f t="shared" si="36"/>
        <v>#REF!</v>
      </c>
      <c r="N117" s="186" t="e">
        <f t="shared" si="36"/>
        <v>#REF!</v>
      </c>
      <c r="O117" s="186" t="e">
        <f>O119&amp;$S117&amp;ActYear_m2Y</f>
        <v>#REF!</v>
      </c>
      <c r="P117" s="186" t="e">
        <f t="shared" si="37"/>
        <v>#REF!</v>
      </c>
      <c r="Q117" s="186" t="e">
        <f t="shared" si="37"/>
        <v>#REF!</v>
      </c>
      <c r="R117" s="186" t="e">
        <f t="shared" si="37"/>
        <v>#REF!</v>
      </c>
      <c r="S117" s="186" t="str">
        <f t="shared" si="30"/>
        <v> </v>
      </c>
      <c r="T117" s="205"/>
      <c r="U117" s="206"/>
    </row>
    <row r="118" spans="8:21" ht="10.5" thickBot="1">
      <c r="H118" s="256"/>
      <c r="I118" s="170" t="s">
        <v>455</v>
      </c>
      <c r="J118" s="171" t="e">
        <f t="shared" si="34"/>
        <v>#REF!</v>
      </c>
      <c r="K118" s="172" t="e">
        <f>K119&amp;$S117&amp;ActY_m2Y</f>
        <v>#REF!</v>
      </c>
      <c r="L118" s="172" t="e">
        <f t="shared" si="36"/>
        <v>#REF!</v>
      </c>
      <c r="M118" s="172" t="e">
        <f t="shared" si="36"/>
        <v>#REF!</v>
      </c>
      <c r="N118" s="172" t="e">
        <f t="shared" si="36"/>
        <v>#REF!</v>
      </c>
      <c r="O118" s="172" t="e">
        <f>O119&amp;$S117&amp;ActY_m2Y</f>
        <v>#REF!</v>
      </c>
      <c r="P118" s="172" t="e">
        <f t="shared" si="37"/>
        <v>#REF!</v>
      </c>
      <c r="Q118" s="172" t="e">
        <f t="shared" si="37"/>
        <v>#REF!</v>
      </c>
      <c r="R118" s="172" t="e">
        <f t="shared" si="37"/>
        <v>#REF!</v>
      </c>
      <c r="S118" s="172">
        <f t="shared" si="30"/>
      </c>
      <c r="T118" s="202"/>
      <c r="U118" s="203"/>
    </row>
    <row r="119" spans="8:21" ht="10.5">
      <c r="H119" s="256"/>
      <c r="I119" s="176" t="s">
        <v>456</v>
      </c>
      <c r="J119" s="177" t="e">
        <f t="shared" si="34"/>
        <v>#REF!</v>
      </c>
      <c r="K119" s="186" t="str">
        <f>N103</f>
        <v>jul-sep</v>
      </c>
      <c r="L119" s="186" t="str">
        <f t="shared" si="36"/>
        <v>okt-dec</v>
      </c>
      <c r="M119" s="186" t="str">
        <f t="shared" si="36"/>
        <v>jan-mar</v>
      </c>
      <c r="N119" s="186" t="str">
        <f t="shared" si="36"/>
        <v>apr-jun</v>
      </c>
      <c r="O119" s="186" t="str">
        <f>R103</f>
        <v>Jul-Sep</v>
      </c>
      <c r="P119" s="186" t="str">
        <f t="shared" si="37"/>
        <v>Oct-Dec</v>
      </c>
      <c r="Q119" s="186" t="str">
        <f t="shared" si="37"/>
        <v>Jan-Mar</v>
      </c>
      <c r="R119" s="186" t="str">
        <f t="shared" si="37"/>
        <v>Apr-Jun</v>
      </c>
      <c r="S119" s="186">
        <f t="shared" si="30"/>
      </c>
      <c r="T119" s="205"/>
      <c r="U119" s="206"/>
    </row>
    <row r="120" spans="8:21" ht="10.5" thickBot="1">
      <c r="H120" s="257"/>
      <c r="I120" s="208" t="s">
        <v>457</v>
      </c>
      <c r="J120" s="209" t="e">
        <f t="shared" si="34"/>
        <v>#REF!</v>
      </c>
      <c r="K120" s="210" t="str">
        <f>N104</f>
        <v>jan-sep</v>
      </c>
      <c r="L120" s="210" t="str">
        <f t="shared" si="36"/>
        <v>jan-dec</v>
      </c>
      <c r="M120" s="210" t="str">
        <f t="shared" si="36"/>
        <v>jan-mar</v>
      </c>
      <c r="N120" s="210" t="str">
        <f t="shared" si="36"/>
        <v>jan-jun</v>
      </c>
      <c r="O120" s="210" t="str">
        <f>R104</f>
        <v>Jan-Sep</v>
      </c>
      <c r="P120" s="210" t="str">
        <f t="shared" si="37"/>
        <v>Jan-Dec</v>
      </c>
      <c r="Q120" s="210" t="str">
        <f t="shared" si="37"/>
        <v>Jan-Mar</v>
      </c>
      <c r="R120" s="210" t="str">
        <f t="shared" si="37"/>
        <v>Jan-Jun</v>
      </c>
      <c r="S120" s="210">
        <f t="shared" si="30"/>
      </c>
      <c r="T120" s="211"/>
      <c r="U120" s="212"/>
    </row>
    <row r="121" spans="8:21" ht="10.5" thickTop="1">
      <c r="H121" s="255" t="s">
        <v>458</v>
      </c>
      <c r="I121" s="190" t="s">
        <v>459</v>
      </c>
      <c r="J121" s="191" t="e">
        <f t="shared" si="34"/>
        <v>#REF!</v>
      </c>
      <c r="K121" s="192">
        <f>N105</f>
        <v>2</v>
      </c>
      <c r="L121" s="192">
        <f t="shared" si="36"/>
        <v>3</v>
      </c>
      <c r="M121" s="192">
        <f t="shared" si="36"/>
        <v>4</v>
      </c>
      <c r="N121" s="192">
        <f t="shared" si="36"/>
        <v>1</v>
      </c>
      <c r="O121" s="192">
        <f>R105</f>
        <v>2</v>
      </c>
      <c r="P121" s="192">
        <f t="shared" si="37"/>
        <v>3</v>
      </c>
      <c r="Q121" s="192">
        <f t="shared" si="37"/>
        <v>4</v>
      </c>
      <c r="R121" s="192">
        <f t="shared" si="37"/>
        <v>1</v>
      </c>
      <c r="S121" s="192">
        <f t="shared" si="30"/>
      </c>
      <c r="T121" s="193"/>
      <c r="U121" s="194"/>
    </row>
    <row r="122" spans="8:21" ht="10.5">
      <c r="H122" s="256"/>
      <c r="I122" s="164" t="s">
        <v>460</v>
      </c>
      <c r="J122" s="165" t="e">
        <f t="shared" si="34"/>
        <v>#REF!</v>
      </c>
      <c r="K122" s="166" t="str">
        <f aca="true" t="shared" si="38" ref="K122:R122">"Q"&amp;K121</f>
        <v>Q2</v>
      </c>
      <c r="L122" s="166" t="str">
        <f t="shared" si="38"/>
        <v>Q3</v>
      </c>
      <c r="M122" s="166" t="str">
        <f t="shared" si="38"/>
        <v>Q4</v>
      </c>
      <c r="N122" s="166" t="str">
        <f t="shared" si="38"/>
        <v>Q1</v>
      </c>
      <c r="O122" s="166" t="str">
        <f t="shared" si="38"/>
        <v>Q2</v>
      </c>
      <c r="P122" s="166" t="str">
        <f t="shared" si="38"/>
        <v>Q3</v>
      </c>
      <c r="Q122" s="166" t="str">
        <f t="shared" si="38"/>
        <v>Q4</v>
      </c>
      <c r="R122" s="166" t="str">
        <f t="shared" si="38"/>
        <v>Q1</v>
      </c>
      <c r="S122" s="166">
        <f t="shared" si="30"/>
      </c>
      <c r="T122" s="197"/>
      <c r="U122" s="198"/>
    </row>
    <row r="123" spans="8:21" ht="10.5">
      <c r="H123" s="256"/>
      <c r="I123" s="164" t="s">
        <v>461</v>
      </c>
      <c r="J123" s="165" t="e">
        <f t="shared" si="34"/>
        <v>#REF!</v>
      </c>
      <c r="K123" s="166" t="e">
        <f>K122&amp;$S123&amp;ActYear_m2Y</f>
        <v>#REF!</v>
      </c>
      <c r="L123" s="166" t="e">
        <f aca="true" t="shared" si="39" ref="L123:N137">K107</f>
        <v>#REF!</v>
      </c>
      <c r="M123" s="166" t="e">
        <f t="shared" si="39"/>
        <v>#REF!</v>
      </c>
      <c r="N123" s="166" t="e">
        <f t="shared" si="39"/>
        <v>#REF!</v>
      </c>
      <c r="O123" s="166" t="e">
        <f>O122&amp;$S123&amp;ActYear_m2Y</f>
        <v>#REF!</v>
      </c>
      <c r="P123" s="166" t="e">
        <f>O107</f>
        <v>#REF!</v>
      </c>
      <c r="Q123" s="166" t="e">
        <f>P107</f>
        <v>#REF!</v>
      </c>
      <c r="R123" s="166" t="e">
        <f>Q107</f>
        <v>#REF!</v>
      </c>
      <c r="S123" s="166" t="str">
        <f t="shared" si="30"/>
        <v> </v>
      </c>
      <c r="T123" s="197"/>
      <c r="U123" s="198"/>
    </row>
    <row r="124" spans="8:21" ht="10.5">
      <c r="H124" s="256"/>
      <c r="I124" s="164" t="s">
        <v>462</v>
      </c>
      <c r="J124" s="165" t="e">
        <f t="shared" si="34"/>
        <v>#REF!</v>
      </c>
      <c r="K124" s="166" t="e">
        <f>K122&amp;$S124&amp;ActY_m2Y</f>
        <v>#REF!</v>
      </c>
      <c r="L124" s="166" t="e">
        <f t="shared" si="39"/>
        <v>#REF!</v>
      </c>
      <c r="M124" s="166" t="e">
        <f t="shared" si="39"/>
        <v>#REF!</v>
      </c>
      <c r="N124" s="166" t="e">
        <f t="shared" si="39"/>
        <v>#REF!</v>
      </c>
      <c r="O124" s="166" t="e">
        <f>O122&amp;$S124&amp;ActY_m2Y</f>
        <v>#REF!</v>
      </c>
      <c r="P124" s="166" t="e">
        <f aca="true" t="shared" si="40" ref="P124:R137">O108</f>
        <v>#REF!</v>
      </c>
      <c r="Q124" s="166" t="e">
        <f>P107</f>
        <v>#REF!</v>
      </c>
      <c r="R124" s="166" t="e">
        <f>Q107</f>
        <v>#REF!</v>
      </c>
      <c r="S124" s="166" t="str">
        <f t="shared" si="30"/>
        <v> </v>
      </c>
      <c r="T124" s="197"/>
      <c r="U124" s="198"/>
    </row>
    <row r="125" spans="8:21" ht="10.5">
      <c r="H125" s="256"/>
      <c r="I125" s="164" t="s">
        <v>463</v>
      </c>
      <c r="J125" s="165" t="e">
        <f t="shared" si="34"/>
        <v>#REF!</v>
      </c>
      <c r="K125" s="166" t="e">
        <f>K121&amp;$S125&amp;ActYear_m2Y</f>
        <v>#REF!</v>
      </c>
      <c r="L125" s="166" t="e">
        <f t="shared" si="39"/>
        <v>#REF!</v>
      </c>
      <c r="M125" s="166" t="e">
        <f t="shared" si="39"/>
        <v>#REF!</v>
      </c>
      <c r="N125" s="166" t="e">
        <f t="shared" si="39"/>
        <v>#REF!</v>
      </c>
      <c r="O125" s="166" t="e">
        <f>O121&amp;$S125&amp;ActYear_m2Y</f>
        <v>#REF!</v>
      </c>
      <c r="P125" s="166" t="e">
        <f t="shared" si="40"/>
        <v>#REF!</v>
      </c>
      <c r="Q125" s="166" t="e">
        <f t="shared" si="40"/>
        <v>#REF!</v>
      </c>
      <c r="R125" s="166" t="e">
        <f t="shared" si="40"/>
        <v>#REF!</v>
      </c>
      <c r="S125" s="166" t="str">
        <f t="shared" si="30"/>
        <v> </v>
      </c>
      <c r="T125" s="197"/>
      <c r="U125" s="198"/>
    </row>
    <row r="126" spans="8:21" ht="10.5" thickBot="1">
      <c r="H126" s="256"/>
      <c r="I126" s="170" t="s">
        <v>464</v>
      </c>
      <c r="J126" s="171" t="e">
        <f t="shared" si="34"/>
        <v>#REF!</v>
      </c>
      <c r="K126" s="172" t="e">
        <f>K121&amp;$S126&amp;ActY_m2Y</f>
        <v>#REF!</v>
      </c>
      <c r="L126" s="172" t="e">
        <f t="shared" si="39"/>
        <v>#REF!</v>
      </c>
      <c r="M126" s="172" t="e">
        <f t="shared" si="39"/>
        <v>#REF!</v>
      </c>
      <c r="N126" s="172" t="e">
        <f t="shared" si="39"/>
        <v>#REF!</v>
      </c>
      <c r="O126" s="172" t="e">
        <f>O121&amp;$S126&amp;ActY_m2Y</f>
        <v>#REF!</v>
      </c>
      <c r="P126" s="172" t="e">
        <f t="shared" si="40"/>
        <v>#REF!</v>
      </c>
      <c r="Q126" s="172" t="e">
        <f t="shared" si="40"/>
        <v>#REF!</v>
      </c>
      <c r="R126" s="172" t="e">
        <f t="shared" si="40"/>
        <v>#REF!</v>
      </c>
      <c r="S126" s="172" t="str">
        <f t="shared" si="30"/>
        <v> </v>
      </c>
      <c r="T126" s="202"/>
      <c r="U126" s="203"/>
    </row>
    <row r="127" spans="8:21" ht="10.5">
      <c r="H127" s="256"/>
      <c r="I127" s="176" t="s">
        <v>465</v>
      </c>
      <c r="J127" s="177" t="e">
        <f t="shared" si="34"/>
        <v>#REF!</v>
      </c>
      <c r="K127" s="204" t="str">
        <f>N111</f>
        <v>06</v>
      </c>
      <c r="L127" s="204" t="str">
        <f t="shared" si="39"/>
        <v>09</v>
      </c>
      <c r="M127" s="204" t="str">
        <f t="shared" si="39"/>
        <v>12</v>
      </c>
      <c r="N127" s="204" t="str">
        <f t="shared" si="39"/>
        <v>03</v>
      </c>
      <c r="O127" s="204" t="str">
        <f>R111</f>
        <v>06</v>
      </c>
      <c r="P127" s="204" t="str">
        <f t="shared" si="40"/>
        <v>09</v>
      </c>
      <c r="Q127" s="204" t="str">
        <f t="shared" si="40"/>
        <v>12</v>
      </c>
      <c r="R127" s="204" t="str">
        <f t="shared" si="40"/>
        <v>03</v>
      </c>
      <c r="S127" s="186">
        <f t="shared" si="30"/>
      </c>
      <c r="T127" s="205"/>
      <c r="U127" s="206"/>
    </row>
    <row r="128" spans="8:21" ht="10.5" thickBot="1">
      <c r="H128" s="256"/>
      <c r="I128" s="170" t="s">
        <v>466</v>
      </c>
      <c r="J128" s="171" t="e">
        <f t="shared" si="34"/>
        <v>#REF!</v>
      </c>
      <c r="K128" s="172" t="e">
        <f>ActYear_m2Y&amp;$S128&amp;K127</f>
        <v>#REF!</v>
      </c>
      <c r="L128" s="172" t="e">
        <f t="shared" si="39"/>
        <v>#REF!</v>
      </c>
      <c r="M128" s="172" t="e">
        <f t="shared" si="39"/>
        <v>#REF!</v>
      </c>
      <c r="N128" s="172" t="e">
        <f t="shared" si="39"/>
        <v>#REF!</v>
      </c>
      <c r="O128" s="172" t="e">
        <f>ActYear_m2Y&amp;$S128&amp;O127</f>
        <v>#REF!</v>
      </c>
      <c r="P128" s="172" t="e">
        <f t="shared" si="40"/>
        <v>#REF!</v>
      </c>
      <c r="Q128" s="172" t="e">
        <f t="shared" si="40"/>
        <v>#REF!</v>
      </c>
      <c r="R128" s="172" t="e">
        <f t="shared" si="40"/>
        <v>#REF!</v>
      </c>
      <c r="S128" s="172" t="str">
        <f t="shared" si="30"/>
        <v> </v>
      </c>
      <c r="T128" s="202"/>
      <c r="U128" s="203"/>
    </row>
    <row r="129" spans="8:21" ht="10.5">
      <c r="H129" s="256"/>
      <c r="I129" s="176" t="s">
        <v>467</v>
      </c>
      <c r="J129" s="177" t="e">
        <f t="shared" si="34"/>
        <v>#REF!</v>
      </c>
      <c r="K129" s="186" t="str">
        <f>N113</f>
        <v>30 jun.</v>
      </c>
      <c r="L129" s="186" t="str">
        <f t="shared" si="39"/>
        <v>30 sep.</v>
      </c>
      <c r="M129" s="186" t="str">
        <f t="shared" si="39"/>
        <v>31 dec.</v>
      </c>
      <c r="N129" s="186" t="str">
        <f t="shared" si="39"/>
        <v>31 mar.</v>
      </c>
      <c r="O129" s="186" t="str">
        <f>R113</f>
        <v>Jun. 30</v>
      </c>
      <c r="P129" s="186" t="str">
        <f t="shared" si="40"/>
        <v>Sep. 30</v>
      </c>
      <c r="Q129" s="186" t="str">
        <f t="shared" si="40"/>
        <v>Dec. 31</v>
      </c>
      <c r="R129" s="186" t="str">
        <f t="shared" si="40"/>
        <v>Mar. 31</v>
      </c>
      <c r="S129" s="186">
        <f t="shared" si="30"/>
      </c>
      <c r="T129" s="205"/>
      <c r="U129" s="206"/>
    </row>
    <row r="130" spans="8:21" ht="10.5">
      <c r="H130" s="256"/>
      <c r="I130" s="164" t="s">
        <v>468</v>
      </c>
      <c r="J130" s="182" t="e">
        <f t="shared" si="34"/>
        <v>#REF!</v>
      </c>
      <c r="K130" s="183" t="e">
        <f>_XLL.SLUTMÅNAD(DATE(ActYear_m2Y,K127,1),0)</f>
        <v>#REF!</v>
      </c>
      <c r="L130" s="183" t="e">
        <f t="shared" si="39"/>
        <v>#REF!</v>
      </c>
      <c r="M130" s="183" t="e">
        <f t="shared" si="39"/>
        <v>#REF!</v>
      </c>
      <c r="N130" s="183" t="e">
        <f t="shared" si="39"/>
        <v>#REF!</v>
      </c>
      <c r="O130" s="183" t="e">
        <f>_XLL.SLUTMÅNAD(DATE(ActYear_m2Y,O127,1),0)</f>
        <v>#REF!</v>
      </c>
      <c r="P130" s="183" t="e">
        <f t="shared" si="40"/>
        <v>#REF!</v>
      </c>
      <c r="Q130" s="183" t="e">
        <f t="shared" si="40"/>
        <v>#REF!</v>
      </c>
      <c r="R130" s="183" t="e">
        <f t="shared" si="40"/>
        <v>#REF!</v>
      </c>
      <c r="S130" s="166">
        <f t="shared" si="30"/>
      </c>
      <c r="T130" s="197"/>
      <c r="U130" s="198"/>
    </row>
    <row r="131" spans="8:21" ht="10.5">
      <c r="H131" s="256"/>
      <c r="I131" s="164" t="s">
        <v>469</v>
      </c>
      <c r="J131" s="165" t="e">
        <f t="shared" si="34"/>
        <v>#REF!</v>
      </c>
      <c r="K131" s="166" t="e">
        <f>K129&amp;$S131&amp;ActYear_m2Y</f>
        <v>#REF!</v>
      </c>
      <c r="L131" s="166" t="e">
        <f t="shared" si="39"/>
        <v>#REF!</v>
      </c>
      <c r="M131" s="166" t="e">
        <f t="shared" si="39"/>
        <v>#REF!</v>
      </c>
      <c r="N131" s="166" t="e">
        <f t="shared" si="39"/>
        <v>#REF!</v>
      </c>
      <c r="O131" s="166" t="e">
        <f>O129&amp;","&amp;$S131&amp;ActYear_m2Y</f>
        <v>#REF!</v>
      </c>
      <c r="P131" s="166" t="e">
        <f t="shared" si="40"/>
        <v>#REF!</v>
      </c>
      <c r="Q131" s="166" t="e">
        <f t="shared" si="40"/>
        <v>#REF!</v>
      </c>
      <c r="R131" s="166" t="e">
        <f t="shared" si="40"/>
        <v>#REF!</v>
      </c>
      <c r="S131" s="166" t="str">
        <f t="shared" si="30"/>
        <v> </v>
      </c>
      <c r="T131" s="197"/>
      <c r="U131" s="198"/>
    </row>
    <row r="132" spans="8:21" ht="10.5" thickBot="1">
      <c r="H132" s="256"/>
      <c r="I132" s="170" t="s">
        <v>470</v>
      </c>
      <c r="J132" s="171" t="e">
        <f t="shared" si="34"/>
        <v>#REF!</v>
      </c>
      <c r="K132" s="172" t="e">
        <f>K129&amp;$S132&amp;ActY_m2Y</f>
        <v>#REF!</v>
      </c>
      <c r="L132" s="172" t="e">
        <f t="shared" si="39"/>
        <v>#REF!</v>
      </c>
      <c r="M132" s="172" t="e">
        <f t="shared" si="39"/>
        <v>#REF!</v>
      </c>
      <c r="N132" s="172" t="e">
        <f t="shared" si="39"/>
        <v>#REF!</v>
      </c>
      <c r="O132" s="172" t="e">
        <f>O129&amp;$S132&amp;ActY_m2Y</f>
        <v>#REF!</v>
      </c>
      <c r="P132" s="172" t="e">
        <f t="shared" si="40"/>
        <v>#REF!</v>
      </c>
      <c r="Q132" s="172" t="e">
        <f t="shared" si="40"/>
        <v>#REF!</v>
      </c>
      <c r="R132" s="172" t="e">
        <f t="shared" si="40"/>
        <v>#REF!</v>
      </c>
      <c r="S132" s="172" t="str">
        <f t="shared" si="30"/>
        <v> </v>
      </c>
      <c r="T132" s="202"/>
      <c r="U132" s="203"/>
    </row>
    <row r="133" spans="8:21" ht="10.5">
      <c r="H133" s="256"/>
      <c r="I133" s="176" t="s">
        <v>471</v>
      </c>
      <c r="J133" s="177" t="e">
        <f t="shared" si="34"/>
        <v>#REF!</v>
      </c>
      <c r="K133" s="186" t="e">
        <f>K135&amp;$S133&amp;ActYear_m2Y</f>
        <v>#REF!</v>
      </c>
      <c r="L133" s="186" t="e">
        <f t="shared" si="39"/>
        <v>#REF!</v>
      </c>
      <c r="M133" s="186" t="e">
        <f t="shared" si="39"/>
        <v>#REF!</v>
      </c>
      <c r="N133" s="186" t="e">
        <f t="shared" si="39"/>
        <v>#REF!</v>
      </c>
      <c r="O133" s="186" t="e">
        <f>O135&amp;$S133&amp;ActYear_m2Y</f>
        <v>#REF!</v>
      </c>
      <c r="P133" s="186" t="e">
        <f t="shared" si="40"/>
        <v>#REF!</v>
      </c>
      <c r="Q133" s="186" t="e">
        <f t="shared" si="40"/>
        <v>#REF!</v>
      </c>
      <c r="R133" s="186" t="e">
        <f t="shared" si="40"/>
        <v>#REF!</v>
      </c>
      <c r="S133" s="186" t="str">
        <f t="shared" si="30"/>
        <v> </v>
      </c>
      <c r="T133" s="205"/>
      <c r="U133" s="206"/>
    </row>
    <row r="134" spans="8:21" ht="10.5" thickBot="1">
      <c r="H134" s="256"/>
      <c r="I134" s="170" t="s">
        <v>472</v>
      </c>
      <c r="J134" s="171" t="e">
        <f t="shared" si="34"/>
        <v>#REF!</v>
      </c>
      <c r="K134" s="172" t="e">
        <f>K135&amp;$S133&amp;ActY_m2Y</f>
        <v>#REF!</v>
      </c>
      <c r="L134" s="172" t="e">
        <f t="shared" si="39"/>
        <v>#REF!</v>
      </c>
      <c r="M134" s="172" t="e">
        <f t="shared" si="39"/>
        <v>#REF!</v>
      </c>
      <c r="N134" s="172" t="e">
        <f t="shared" si="39"/>
        <v>#REF!</v>
      </c>
      <c r="O134" s="172" t="e">
        <f>O135&amp;$S133&amp;ActY_m2Y</f>
        <v>#REF!</v>
      </c>
      <c r="P134" s="172" t="e">
        <f t="shared" si="40"/>
        <v>#REF!</v>
      </c>
      <c r="Q134" s="172" t="e">
        <f t="shared" si="40"/>
        <v>#REF!</v>
      </c>
      <c r="R134" s="172" t="e">
        <f t="shared" si="40"/>
        <v>#REF!</v>
      </c>
      <c r="S134" s="172">
        <f t="shared" si="30"/>
      </c>
      <c r="T134" s="202"/>
      <c r="U134" s="203"/>
    </row>
    <row r="135" spans="8:21" ht="10.5">
      <c r="H135" s="256"/>
      <c r="I135" s="176" t="s">
        <v>473</v>
      </c>
      <c r="J135" s="177" t="e">
        <f aca="true" t="shared" si="41" ref="J135:J166">INDEX(K135:R135,,SelectIdx)</f>
        <v>#REF!</v>
      </c>
      <c r="K135" s="186" t="str">
        <f>N119</f>
        <v>apr-jun</v>
      </c>
      <c r="L135" s="186" t="str">
        <f t="shared" si="39"/>
        <v>jul-sep</v>
      </c>
      <c r="M135" s="186" t="str">
        <f t="shared" si="39"/>
        <v>okt-dec</v>
      </c>
      <c r="N135" s="186" t="str">
        <f t="shared" si="39"/>
        <v>jan-mar</v>
      </c>
      <c r="O135" s="186" t="str">
        <f>R119</f>
        <v>Apr-Jun</v>
      </c>
      <c r="P135" s="186" t="str">
        <f t="shared" si="40"/>
        <v>Jul-Sep</v>
      </c>
      <c r="Q135" s="186" t="str">
        <f t="shared" si="40"/>
        <v>Oct-Dec</v>
      </c>
      <c r="R135" s="186" t="str">
        <f t="shared" si="40"/>
        <v>Jan-Mar</v>
      </c>
      <c r="S135" s="186">
        <f t="shared" si="30"/>
      </c>
      <c r="T135" s="205"/>
      <c r="U135" s="206"/>
    </row>
    <row r="136" spans="8:21" ht="10.5" thickBot="1">
      <c r="H136" s="257"/>
      <c r="I136" s="208" t="s">
        <v>474</v>
      </c>
      <c r="J136" s="209" t="e">
        <f t="shared" si="41"/>
        <v>#REF!</v>
      </c>
      <c r="K136" s="210" t="str">
        <f>N120</f>
        <v>jan-jun</v>
      </c>
      <c r="L136" s="210" t="str">
        <f t="shared" si="39"/>
        <v>jan-sep</v>
      </c>
      <c r="M136" s="210" t="str">
        <f t="shared" si="39"/>
        <v>jan-dec</v>
      </c>
      <c r="N136" s="210" t="str">
        <f t="shared" si="39"/>
        <v>jan-mar</v>
      </c>
      <c r="O136" s="210" t="str">
        <f>R120</f>
        <v>Jan-Jun</v>
      </c>
      <c r="P136" s="210" t="str">
        <f t="shared" si="40"/>
        <v>Jan-Sep</v>
      </c>
      <c r="Q136" s="210" t="str">
        <f t="shared" si="40"/>
        <v>Jan-Dec</v>
      </c>
      <c r="R136" s="210" t="str">
        <f t="shared" si="40"/>
        <v>Jan-Mar</v>
      </c>
      <c r="S136" s="210">
        <f t="shared" si="30"/>
      </c>
      <c r="T136" s="211"/>
      <c r="U136" s="212"/>
    </row>
    <row r="137" spans="8:21" ht="10.5" thickTop="1">
      <c r="H137" s="255" t="s">
        <v>475</v>
      </c>
      <c r="I137" s="190" t="s">
        <v>476</v>
      </c>
      <c r="J137" s="191" t="e">
        <f t="shared" si="41"/>
        <v>#REF!</v>
      </c>
      <c r="K137" s="192">
        <f>N121</f>
        <v>1</v>
      </c>
      <c r="L137" s="192">
        <f t="shared" si="39"/>
        <v>2</v>
      </c>
      <c r="M137" s="192">
        <f t="shared" si="39"/>
        <v>3</v>
      </c>
      <c r="N137" s="192">
        <f t="shared" si="39"/>
        <v>4</v>
      </c>
      <c r="O137" s="192">
        <f>R121</f>
        <v>1</v>
      </c>
      <c r="P137" s="192">
        <f t="shared" si="40"/>
        <v>2</v>
      </c>
      <c r="Q137" s="192">
        <f t="shared" si="40"/>
        <v>3</v>
      </c>
      <c r="R137" s="192">
        <f t="shared" si="40"/>
        <v>4</v>
      </c>
      <c r="S137" s="192">
        <f t="shared" si="30"/>
      </c>
      <c r="T137" s="193"/>
      <c r="U137" s="194"/>
    </row>
    <row r="138" spans="8:21" ht="10.5">
      <c r="H138" s="256"/>
      <c r="I138" s="164" t="s">
        <v>477</v>
      </c>
      <c r="J138" s="165" t="e">
        <f t="shared" si="41"/>
        <v>#REF!</v>
      </c>
      <c r="K138" s="166" t="str">
        <f aca="true" t="shared" si="42" ref="K138:R138">"Q"&amp;K137</f>
        <v>Q1</v>
      </c>
      <c r="L138" s="166" t="str">
        <f t="shared" si="42"/>
        <v>Q2</v>
      </c>
      <c r="M138" s="166" t="str">
        <f t="shared" si="42"/>
        <v>Q3</v>
      </c>
      <c r="N138" s="166" t="str">
        <f t="shared" si="42"/>
        <v>Q4</v>
      </c>
      <c r="O138" s="166" t="str">
        <f t="shared" si="42"/>
        <v>Q1</v>
      </c>
      <c r="P138" s="166" t="str">
        <f t="shared" si="42"/>
        <v>Q2</v>
      </c>
      <c r="Q138" s="166" t="str">
        <f t="shared" si="42"/>
        <v>Q3</v>
      </c>
      <c r="R138" s="166" t="str">
        <f t="shared" si="42"/>
        <v>Q4</v>
      </c>
      <c r="S138" s="166">
        <f t="shared" si="30"/>
      </c>
      <c r="T138" s="197"/>
      <c r="U138" s="198"/>
    </row>
    <row r="139" spans="8:21" ht="10.5">
      <c r="H139" s="256"/>
      <c r="I139" s="164" t="s">
        <v>478</v>
      </c>
      <c r="J139" s="165" t="e">
        <f t="shared" si="41"/>
        <v>#REF!</v>
      </c>
      <c r="K139" s="166" t="e">
        <f>K138&amp;$S139&amp;ActYear_m2Y</f>
        <v>#REF!</v>
      </c>
      <c r="L139" s="166" t="e">
        <f aca="true" t="shared" si="43" ref="L139:N153">K123</f>
        <v>#REF!</v>
      </c>
      <c r="M139" s="166" t="e">
        <f t="shared" si="43"/>
        <v>#REF!</v>
      </c>
      <c r="N139" s="166" t="e">
        <f t="shared" si="43"/>
        <v>#REF!</v>
      </c>
      <c r="O139" s="166" t="e">
        <f>O138&amp;$S139&amp;ActYear_m2Y</f>
        <v>#REF!</v>
      </c>
      <c r="P139" s="166" t="e">
        <f>O123</f>
        <v>#REF!</v>
      </c>
      <c r="Q139" s="166" t="e">
        <f>P123</f>
        <v>#REF!</v>
      </c>
      <c r="R139" s="166" t="e">
        <f>Q123</f>
        <v>#REF!</v>
      </c>
      <c r="S139" s="166" t="str">
        <f t="shared" si="30"/>
        <v> </v>
      </c>
      <c r="T139" s="197"/>
      <c r="U139" s="198"/>
    </row>
    <row r="140" spans="8:21" ht="10.5">
      <c r="H140" s="256"/>
      <c r="I140" s="164" t="s">
        <v>479</v>
      </c>
      <c r="J140" s="165" t="e">
        <f t="shared" si="41"/>
        <v>#REF!</v>
      </c>
      <c r="K140" s="166" t="e">
        <f>K138&amp;$S140&amp;ActY_m2Y</f>
        <v>#REF!</v>
      </c>
      <c r="L140" s="166" t="e">
        <f t="shared" si="43"/>
        <v>#REF!</v>
      </c>
      <c r="M140" s="166" t="e">
        <f t="shared" si="43"/>
        <v>#REF!</v>
      </c>
      <c r="N140" s="166" t="e">
        <f t="shared" si="43"/>
        <v>#REF!</v>
      </c>
      <c r="O140" s="166" t="e">
        <f>O138&amp;$S140&amp;ActY_m2Y</f>
        <v>#REF!</v>
      </c>
      <c r="P140" s="166" t="e">
        <f aca="true" t="shared" si="44" ref="P140:R153">O124</f>
        <v>#REF!</v>
      </c>
      <c r="Q140" s="166" t="e">
        <f>P123</f>
        <v>#REF!</v>
      </c>
      <c r="R140" s="166" t="e">
        <f>Q123</f>
        <v>#REF!</v>
      </c>
      <c r="S140" s="166" t="str">
        <f t="shared" si="30"/>
        <v> </v>
      </c>
      <c r="T140" s="197"/>
      <c r="U140" s="198"/>
    </row>
    <row r="141" spans="8:21" ht="10.5">
      <c r="H141" s="256"/>
      <c r="I141" s="164" t="s">
        <v>480</v>
      </c>
      <c r="J141" s="165" t="e">
        <f t="shared" si="41"/>
        <v>#REF!</v>
      </c>
      <c r="K141" s="166" t="e">
        <f>K137&amp;$S141&amp;ActYear_m2Y</f>
        <v>#REF!</v>
      </c>
      <c r="L141" s="166" t="e">
        <f t="shared" si="43"/>
        <v>#REF!</v>
      </c>
      <c r="M141" s="166" t="e">
        <f t="shared" si="43"/>
        <v>#REF!</v>
      </c>
      <c r="N141" s="166" t="e">
        <f t="shared" si="43"/>
        <v>#REF!</v>
      </c>
      <c r="O141" s="166" t="e">
        <f>O137&amp;$S141&amp;ActYear_m2Y</f>
        <v>#REF!</v>
      </c>
      <c r="P141" s="166" t="e">
        <f t="shared" si="44"/>
        <v>#REF!</v>
      </c>
      <c r="Q141" s="166" t="e">
        <f t="shared" si="44"/>
        <v>#REF!</v>
      </c>
      <c r="R141" s="166" t="e">
        <f t="shared" si="44"/>
        <v>#REF!</v>
      </c>
      <c r="S141" s="166" t="str">
        <f t="shared" si="30"/>
        <v> </v>
      </c>
      <c r="T141" s="197"/>
      <c r="U141" s="198"/>
    </row>
    <row r="142" spans="8:21" ht="10.5" thickBot="1">
      <c r="H142" s="256"/>
      <c r="I142" s="170" t="s">
        <v>481</v>
      </c>
      <c r="J142" s="171" t="e">
        <f t="shared" si="41"/>
        <v>#REF!</v>
      </c>
      <c r="K142" s="172" t="e">
        <f>K137&amp;$S142&amp;ActY_m2Y</f>
        <v>#REF!</v>
      </c>
      <c r="L142" s="172" t="e">
        <f t="shared" si="43"/>
        <v>#REF!</v>
      </c>
      <c r="M142" s="172" t="e">
        <f t="shared" si="43"/>
        <v>#REF!</v>
      </c>
      <c r="N142" s="172" t="e">
        <f t="shared" si="43"/>
        <v>#REF!</v>
      </c>
      <c r="O142" s="172" t="e">
        <f>O137&amp;$S142&amp;ActY_m2Y</f>
        <v>#REF!</v>
      </c>
      <c r="P142" s="172" t="e">
        <f t="shared" si="44"/>
        <v>#REF!</v>
      </c>
      <c r="Q142" s="172" t="e">
        <f t="shared" si="44"/>
        <v>#REF!</v>
      </c>
      <c r="R142" s="172" t="e">
        <f t="shared" si="44"/>
        <v>#REF!</v>
      </c>
      <c r="S142" s="172" t="str">
        <f t="shared" si="30"/>
        <v> </v>
      </c>
      <c r="T142" s="202"/>
      <c r="U142" s="203"/>
    </row>
    <row r="143" spans="8:21" ht="10.5">
      <c r="H143" s="256"/>
      <c r="I143" s="176" t="s">
        <v>482</v>
      </c>
      <c r="J143" s="177" t="e">
        <f t="shared" si="41"/>
        <v>#REF!</v>
      </c>
      <c r="K143" s="204" t="str">
        <f>N127</f>
        <v>03</v>
      </c>
      <c r="L143" s="204" t="str">
        <f t="shared" si="43"/>
        <v>06</v>
      </c>
      <c r="M143" s="204" t="str">
        <f t="shared" si="43"/>
        <v>09</v>
      </c>
      <c r="N143" s="204" t="str">
        <f t="shared" si="43"/>
        <v>12</v>
      </c>
      <c r="O143" s="204" t="str">
        <f>R127</f>
        <v>03</v>
      </c>
      <c r="P143" s="204" t="str">
        <f t="shared" si="44"/>
        <v>06</v>
      </c>
      <c r="Q143" s="204" t="str">
        <f t="shared" si="44"/>
        <v>09</v>
      </c>
      <c r="R143" s="204" t="str">
        <f t="shared" si="44"/>
        <v>12</v>
      </c>
      <c r="S143" s="186">
        <f t="shared" si="30"/>
      </c>
      <c r="T143" s="205"/>
      <c r="U143" s="206"/>
    </row>
    <row r="144" spans="8:21" ht="10.5" thickBot="1">
      <c r="H144" s="256"/>
      <c r="I144" s="170" t="s">
        <v>483</v>
      </c>
      <c r="J144" s="171" t="e">
        <f t="shared" si="41"/>
        <v>#REF!</v>
      </c>
      <c r="K144" s="172" t="e">
        <f>ActYear_m2Y&amp;$S144&amp;K143</f>
        <v>#REF!</v>
      </c>
      <c r="L144" s="172" t="e">
        <f t="shared" si="43"/>
        <v>#REF!</v>
      </c>
      <c r="M144" s="172" t="e">
        <f t="shared" si="43"/>
        <v>#REF!</v>
      </c>
      <c r="N144" s="172" t="e">
        <f t="shared" si="43"/>
        <v>#REF!</v>
      </c>
      <c r="O144" s="172" t="e">
        <f>ActYear_m2Y&amp;$S144&amp;O143</f>
        <v>#REF!</v>
      </c>
      <c r="P144" s="172" t="e">
        <f t="shared" si="44"/>
        <v>#REF!</v>
      </c>
      <c r="Q144" s="172" t="e">
        <f t="shared" si="44"/>
        <v>#REF!</v>
      </c>
      <c r="R144" s="172" t="e">
        <f t="shared" si="44"/>
        <v>#REF!</v>
      </c>
      <c r="S144" s="172" t="str">
        <f t="shared" si="30"/>
        <v> </v>
      </c>
      <c r="T144" s="202"/>
      <c r="U144" s="203"/>
    </row>
    <row r="145" spans="8:21" ht="10.5">
      <c r="H145" s="256"/>
      <c r="I145" s="176" t="s">
        <v>484</v>
      </c>
      <c r="J145" s="177" t="e">
        <f t="shared" si="41"/>
        <v>#REF!</v>
      </c>
      <c r="K145" s="186" t="str">
        <f>N129</f>
        <v>31 mar.</v>
      </c>
      <c r="L145" s="186" t="str">
        <f t="shared" si="43"/>
        <v>30 jun.</v>
      </c>
      <c r="M145" s="186" t="str">
        <f t="shared" si="43"/>
        <v>30 sep.</v>
      </c>
      <c r="N145" s="186" t="str">
        <f t="shared" si="43"/>
        <v>31 dec.</v>
      </c>
      <c r="O145" s="186" t="str">
        <f>R129</f>
        <v>Mar. 31</v>
      </c>
      <c r="P145" s="186" t="str">
        <f t="shared" si="44"/>
        <v>Jun. 30</v>
      </c>
      <c r="Q145" s="186" t="str">
        <f t="shared" si="44"/>
        <v>Sep. 30</v>
      </c>
      <c r="R145" s="186" t="str">
        <f t="shared" si="44"/>
        <v>Dec. 31</v>
      </c>
      <c r="S145" s="186">
        <f t="shared" si="30"/>
      </c>
      <c r="T145" s="205"/>
      <c r="U145" s="206"/>
    </row>
    <row r="146" spans="8:21" ht="10.5">
      <c r="H146" s="256"/>
      <c r="I146" s="164" t="s">
        <v>485</v>
      </c>
      <c r="J146" s="182" t="e">
        <f t="shared" si="41"/>
        <v>#REF!</v>
      </c>
      <c r="K146" s="183" t="e">
        <f>_XLL.SLUTMÅNAD(DATE(ActYear_m2Y,K143,1),0)</f>
        <v>#REF!</v>
      </c>
      <c r="L146" s="183" t="e">
        <f t="shared" si="43"/>
        <v>#REF!</v>
      </c>
      <c r="M146" s="183" t="e">
        <f t="shared" si="43"/>
        <v>#REF!</v>
      </c>
      <c r="N146" s="183" t="e">
        <f t="shared" si="43"/>
        <v>#REF!</v>
      </c>
      <c r="O146" s="183" t="e">
        <f>_XLL.SLUTMÅNAD(DATE(ActYear_m2Y,O143,1),0)</f>
        <v>#REF!</v>
      </c>
      <c r="P146" s="183" t="e">
        <f t="shared" si="44"/>
        <v>#REF!</v>
      </c>
      <c r="Q146" s="183" t="e">
        <f t="shared" si="44"/>
        <v>#REF!</v>
      </c>
      <c r="R146" s="183" t="e">
        <f t="shared" si="44"/>
        <v>#REF!</v>
      </c>
      <c r="S146" s="166">
        <f t="shared" si="30"/>
      </c>
      <c r="T146" s="197"/>
      <c r="U146" s="198"/>
    </row>
    <row r="147" spans="8:21" ht="10.5">
      <c r="H147" s="256"/>
      <c r="I147" s="164" t="s">
        <v>486</v>
      </c>
      <c r="J147" s="165" t="e">
        <f t="shared" si="41"/>
        <v>#REF!</v>
      </c>
      <c r="K147" s="166" t="e">
        <f>K145&amp;$S147&amp;ActYear_m2Y</f>
        <v>#REF!</v>
      </c>
      <c r="L147" s="166" t="e">
        <f t="shared" si="43"/>
        <v>#REF!</v>
      </c>
      <c r="M147" s="166" t="e">
        <f t="shared" si="43"/>
        <v>#REF!</v>
      </c>
      <c r="N147" s="166" t="e">
        <f t="shared" si="43"/>
        <v>#REF!</v>
      </c>
      <c r="O147" s="166" t="e">
        <f>O145&amp;","&amp;$S147&amp;ActYear_m2Y</f>
        <v>#REF!</v>
      </c>
      <c r="P147" s="166" t="e">
        <f t="shared" si="44"/>
        <v>#REF!</v>
      </c>
      <c r="Q147" s="166" t="e">
        <f t="shared" si="44"/>
        <v>#REF!</v>
      </c>
      <c r="R147" s="166" t="e">
        <f t="shared" si="44"/>
        <v>#REF!</v>
      </c>
      <c r="S147" s="166" t="str">
        <f t="shared" si="30"/>
        <v> </v>
      </c>
      <c r="T147" s="197"/>
      <c r="U147" s="198"/>
    </row>
    <row r="148" spans="8:21" ht="10.5" thickBot="1">
      <c r="H148" s="256"/>
      <c r="I148" s="170" t="s">
        <v>487</v>
      </c>
      <c r="J148" s="171" t="e">
        <f t="shared" si="41"/>
        <v>#REF!</v>
      </c>
      <c r="K148" s="172" t="e">
        <f>K145&amp;$S148&amp;ActY_m2Y</f>
        <v>#REF!</v>
      </c>
      <c r="L148" s="172" t="e">
        <f t="shared" si="43"/>
        <v>#REF!</v>
      </c>
      <c r="M148" s="172" t="e">
        <f t="shared" si="43"/>
        <v>#REF!</v>
      </c>
      <c r="N148" s="172" t="e">
        <f t="shared" si="43"/>
        <v>#REF!</v>
      </c>
      <c r="O148" s="172" t="e">
        <f>O145&amp;$S148&amp;ActY_m2Y</f>
        <v>#REF!</v>
      </c>
      <c r="P148" s="172" t="e">
        <f t="shared" si="44"/>
        <v>#REF!</v>
      </c>
      <c r="Q148" s="172" t="e">
        <f t="shared" si="44"/>
        <v>#REF!</v>
      </c>
      <c r="R148" s="172" t="e">
        <f t="shared" si="44"/>
        <v>#REF!</v>
      </c>
      <c r="S148" s="172" t="str">
        <f t="shared" si="30"/>
        <v> </v>
      </c>
      <c r="T148" s="202"/>
      <c r="U148" s="203"/>
    </row>
    <row r="149" spans="8:21" ht="10.5">
      <c r="H149" s="256"/>
      <c r="I149" s="176" t="s">
        <v>488</v>
      </c>
      <c r="J149" s="177" t="e">
        <f t="shared" si="41"/>
        <v>#REF!</v>
      </c>
      <c r="K149" s="186" t="e">
        <f>K151&amp;$S149&amp;ActYear_m2Y</f>
        <v>#REF!</v>
      </c>
      <c r="L149" s="186" t="e">
        <f t="shared" si="43"/>
        <v>#REF!</v>
      </c>
      <c r="M149" s="186" t="e">
        <f t="shared" si="43"/>
        <v>#REF!</v>
      </c>
      <c r="N149" s="186" t="e">
        <f t="shared" si="43"/>
        <v>#REF!</v>
      </c>
      <c r="O149" s="186" t="e">
        <f>O151&amp;$S149&amp;ActYear_m2Y</f>
        <v>#REF!</v>
      </c>
      <c r="P149" s="186" t="e">
        <f t="shared" si="44"/>
        <v>#REF!</v>
      </c>
      <c r="Q149" s="186" t="e">
        <f t="shared" si="44"/>
        <v>#REF!</v>
      </c>
      <c r="R149" s="186" t="e">
        <f t="shared" si="44"/>
        <v>#REF!</v>
      </c>
      <c r="S149" s="186" t="str">
        <f t="shared" si="30"/>
        <v> </v>
      </c>
      <c r="T149" s="205"/>
      <c r="U149" s="206"/>
    </row>
    <row r="150" spans="8:21" ht="10.5" thickBot="1">
      <c r="H150" s="256"/>
      <c r="I150" s="170" t="s">
        <v>489</v>
      </c>
      <c r="J150" s="171" t="e">
        <f t="shared" si="41"/>
        <v>#REF!</v>
      </c>
      <c r="K150" s="172" t="e">
        <f>K151&amp;$S149&amp;ActY_m2Y</f>
        <v>#REF!</v>
      </c>
      <c r="L150" s="172" t="e">
        <f t="shared" si="43"/>
        <v>#REF!</v>
      </c>
      <c r="M150" s="172" t="e">
        <f t="shared" si="43"/>
        <v>#REF!</v>
      </c>
      <c r="N150" s="172" t="e">
        <f t="shared" si="43"/>
        <v>#REF!</v>
      </c>
      <c r="O150" s="172" t="e">
        <f>O151&amp;$S149&amp;ActY_m2Y</f>
        <v>#REF!</v>
      </c>
      <c r="P150" s="172" t="e">
        <f t="shared" si="44"/>
        <v>#REF!</v>
      </c>
      <c r="Q150" s="172" t="e">
        <f t="shared" si="44"/>
        <v>#REF!</v>
      </c>
      <c r="R150" s="172" t="e">
        <f t="shared" si="44"/>
        <v>#REF!</v>
      </c>
      <c r="S150" s="172">
        <f t="shared" si="30"/>
      </c>
      <c r="T150" s="202"/>
      <c r="U150" s="203"/>
    </row>
    <row r="151" spans="8:21" ht="10.5">
      <c r="H151" s="256"/>
      <c r="I151" s="176" t="s">
        <v>490</v>
      </c>
      <c r="J151" s="177" t="e">
        <f t="shared" si="41"/>
        <v>#REF!</v>
      </c>
      <c r="K151" s="186" t="str">
        <f>N135</f>
        <v>jan-mar</v>
      </c>
      <c r="L151" s="186" t="str">
        <f t="shared" si="43"/>
        <v>apr-jun</v>
      </c>
      <c r="M151" s="186" t="str">
        <f t="shared" si="43"/>
        <v>jul-sep</v>
      </c>
      <c r="N151" s="186" t="str">
        <f t="shared" si="43"/>
        <v>okt-dec</v>
      </c>
      <c r="O151" s="186" t="str">
        <f>R135</f>
        <v>Jan-Mar</v>
      </c>
      <c r="P151" s="186" t="str">
        <f t="shared" si="44"/>
        <v>Apr-Jun</v>
      </c>
      <c r="Q151" s="186" t="str">
        <f t="shared" si="44"/>
        <v>Jul-Sep</v>
      </c>
      <c r="R151" s="186" t="str">
        <f t="shared" si="44"/>
        <v>Oct-Dec</v>
      </c>
      <c r="S151" s="186">
        <f t="shared" si="30"/>
      </c>
      <c r="T151" s="205"/>
      <c r="U151" s="206"/>
    </row>
    <row r="152" spans="8:21" ht="10.5" thickBot="1">
      <c r="H152" s="257"/>
      <c r="I152" s="208" t="s">
        <v>491</v>
      </c>
      <c r="J152" s="209" t="e">
        <f t="shared" si="41"/>
        <v>#REF!</v>
      </c>
      <c r="K152" s="210" t="str">
        <f>N136</f>
        <v>jan-mar</v>
      </c>
      <c r="L152" s="210" t="str">
        <f t="shared" si="43"/>
        <v>jan-jun</v>
      </c>
      <c r="M152" s="210" t="str">
        <f t="shared" si="43"/>
        <v>jan-sep</v>
      </c>
      <c r="N152" s="210" t="str">
        <f t="shared" si="43"/>
        <v>jan-dec</v>
      </c>
      <c r="O152" s="210" t="str">
        <f>R136</f>
        <v>Jan-Mar</v>
      </c>
      <c r="P152" s="210" t="str">
        <f t="shared" si="44"/>
        <v>Jan-Jun</v>
      </c>
      <c r="Q152" s="210" t="str">
        <f t="shared" si="44"/>
        <v>Jan-Sep</v>
      </c>
      <c r="R152" s="210" t="str">
        <f t="shared" si="44"/>
        <v>Jan-Dec</v>
      </c>
      <c r="S152" s="210">
        <f t="shared" si="30"/>
      </c>
      <c r="T152" s="211"/>
      <c r="U152" s="212"/>
    </row>
    <row r="153" spans="8:21" ht="10.5" thickTop="1">
      <c r="H153" s="255" t="s">
        <v>492</v>
      </c>
      <c r="I153" s="190" t="s">
        <v>493</v>
      </c>
      <c r="J153" s="191" t="e">
        <f t="shared" si="41"/>
        <v>#REF!</v>
      </c>
      <c r="K153" s="192">
        <f>N137</f>
        <v>4</v>
      </c>
      <c r="L153" s="192">
        <f t="shared" si="43"/>
        <v>1</v>
      </c>
      <c r="M153" s="192">
        <f t="shared" si="43"/>
        <v>2</v>
      </c>
      <c r="N153" s="192">
        <f t="shared" si="43"/>
        <v>3</v>
      </c>
      <c r="O153" s="192">
        <f>R137</f>
        <v>4</v>
      </c>
      <c r="P153" s="192">
        <f t="shared" si="44"/>
        <v>1</v>
      </c>
      <c r="Q153" s="192">
        <f t="shared" si="44"/>
        <v>2</v>
      </c>
      <c r="R153" s="192">
        <f t="shared" si="44"/>
        <v>3</v>
      </c>
      <c r="S153" s="192">
        <f aca="true" t="shared" si="45" ref="S153:S168">IF(S137="","",S137)</f>
      </c>
      <c r="T153" s="193"/>
      <c r="U153" s="194"/>
    </row>
    <row r="154" spans="8:21" ht="10.5">
      <c r="H154" s="256"/>
      <c r="I154" s="164" t="s">
        <v>494</v>
      </c>
      <c r="J154" s="165" t="e">
        <f t="shared" si="41"/>
        <v>#REF!</v>
      </c>
      <c r="K154" s="166" t="str">
        <f aca="true" t="shared" si="46" ref="K154:R154">"Q"&amp;K153</f>
        <v>Q4</v>
      </c>
      <c r="L154" s="166" t="str">
        <f t="shared" si="46"/>
        <v>Q1</v>
      </c>
      <c r="M154" s="166" t="str">
        <f t="shared" si="46"/>
        <v>Q2</v>
      </c>
      <c r="N154" s="166" t="str">
        <f t="shared" si="46"/>
        <v>Q3</v>
      </c>
      <c r="O154" s="166" t="str">
        <f t="shared" si="46"/>
        <v>Q4</v>
      </c>
      <c r="P154" s="166" t="str">
        <f t="shared" si="46"/>
        <v>Q1</v>
      </c>
      <c r="Q154" s="166" t="str">
        <f t="shared" si="46"/>
        <v>Q2</v>
      </c>
      <c r="R154" s="166" t="str">
        <f t="shared" si="46"/>
        <v>Q3</v>
      </c>
      <c r="S154" s="166">
        <f t="shared" si="45"/>
      </c>
      <c r="T154" s="197"/>
      <c r="U154" s="198"/>
    </row>
    <row r="155" spans="8:21" ht="10.5">
      <c r="H155" s="256"/>
      <c r="I155" s="164" t="s">
        <v>495</v>
      </c>
      <c r="J155" s="165" t="e">
        <f t="shared" si="41"/>
        <v>#REF!</v>
      </c>
      <c r="K155" s="166" t="e">
        <f>K154&amp;$S155&amp;ActYear_m3Y</f>
        <v>#REF!</v>
      </c>
      <c r="L155" s="166" t="e">
        <f aca="true" t="shared" si="47" ref="L155:N168">K139</f>
        <v>#REF!</v>
      </c>
      <c r="M155" s="166" t="e">
        <f t="shared" si="47"/>
        <v>#REF!</v>
      </c>
      <c r="N155" s="166" t="e">
        <f t="shared" si="47"/>
        <v>#REF!</v>
      </c>
      <c r="O155" s="166" t="e">
        <f>O154&amp;$S155&amp;ActYear_m3Y</f>
        <v>#REF!</v>
      </c>
      <c r="P155" s="166" t="e">
        <f>O139</f>
        <v>#REF!</v>
      </c>
      <c r="Q155" s="166" t="e">
        <f>P139</f>
        <v>#REF!</v>
      </c>
      <c r="R155" s="166" t="e">
        <f>Q139</f>
        <v>#REF!</v>
      </c>
      <c r="S155" s="166" t="str">
        <f t="shared" si="45"/>
        <v> </v>
      </c>
      <c r="T155" s="197"/>
      <c r="U155" s="198"/>
    </row>
    <row r="156" spans="8:21" ht="10.5">
      <c r="H156" s="256"/>
      <c r="I156" s="164" t="s">
        <v>496</v>
      </c>
      <c r="J156" s="165" t="e">
        <f t="shared" si="41"/>
        <v>#REF!</v>
      </c>
      <c r="K156" s="166" t="e">
        <f>K154&amp;$S156&amp;ActY_m3Y</f>
        <v>#REF!</v>
      </c>
      <c r="L156" s="166" t="e">
        <f t="shared" si="47"/>
        <v>#REF!</v>
      </c>
      <c r="M156" s="166" t="e">
        <f t="shared" si="47"/>
        <v>#REF!</v>
      </c>
      <c r="N156" s="166" t="e">
        <f t="shared" si="47"/>
        <v>#REF!</v>
      </c>
      <c r="O156" s="166" t="e">
        <f>O154&amp;$S156&amp;ActY_m3Y</f>
        <v>#REF!</v>
      </c>
      <c r="P156" s="166" t="e">
        <f aca="true" t="shared" si="48" ref="P156:R168">O140</f>
        <v>#REF!</v>
      </c>
      <c r="Q156" s="166" t="e">
        <f>P139</f>
        <v>#REF!</v>
      </c>
      <c r="R156" s="166" t="e">
        <f>Q139</f>
        <v>#REF!</v>
      </c>
      <c r="S156" s="166" t="str">
        <f t="shared" si="45"/>
        <v> </v>
      </c>
      <c r="T156" s="197"/>
      <c r="U156" s="198"/>
    </row>
    <row r="157" spans="8:21" ht="10.5">
      <c r="H157" s="256"/>
      <c r="I157" s="164" t="s">
        <v>497</v>
      </c>
      <c r="J157" s="165" t="e">
        <f t="shared" si="41"/>
        <v>#REF!</v>
      </c>
      <c r="K157" s="166" t="e">
        <f>K153&amp;$S157&amp;ActYear_m3Y</f>
        <v>#REF!</v>
      </c>
      <c r="L157" s="166" t="e">
        <f t="shared" si="47"/>
        <v>#REF!</v>
      </c>
      <c r="M157" s="166" t="e">
        <f t="shared" si="47"/>
        <v>#REF!</v>
      </c>
      <c r="N157" s="166" t="e">
        <f t="shared" si="47"/>
        <v>#REF!</v>
      </c>
      <c r="O157" s="166" t="e">
        <f>O153&amp;$S157&amp;ActYear_m3Y</f>
        <v>#REF!</v>
      </c>
      <c r="P157" s="166" t="e">
        <f t="shared" si="48"/>
        <v>#REF!</v>
      </c>
      <c r="Q157" s="166" t="e">
        <f t="shared" si="48"/>
        <v>#REF!</v>
      </c>
      <c r="R157" s="166" t="e">
        <f t="shared" si="48"/>
        <v>#REF!</v>
      </c>
      <c r="S157" s="166" t="str">
        <f t="shared" si="45"/>
        <v> </v>
      </c>
      <c r="T157" s="197"/>
      <c r="U157" s="198"/>
    </row>
    <row r="158" spans="8:21" ht="10.5" thickBot="1">
      <c r="H158" s="256"/>
      <c r="I158" s="170" t="s">
        <v>498</v>
      </c>
      <c r="J158" s="171" t="e">
        <f t="shared" si="41"/>
        <v>#REF!</v>
      </c>
      <c r="K158" s="172" t="e">
        <f>K153&amp;$S158&amp;ActY_m3Y</f>
        <v>#REF!</v>
      </c>
      <c r="L158" s="172" t="e">
        <f t="shared" si="47"/>
        <v>#REF!</v>
      </c>
      <c r="M158" s="172" t="e">
        <f t="shared" si="47"/>
        <v>#REF!</v>
      </c>
      <c r="N158" s="172" t="e">
        <f t="shared" si="47"/>
        <v>#REF!</v>
      </c>
      <c r="O158" s="172" t="e">
        <f>O153&amp;$S158&amp;ActY_m3Y</f>
        <v>#REF!</v>
      </c>
      <c r="P158" s="172" t="e">
        <f t="shared" si="48"/>
        <v>#REF!</v>
      </c>
      <c r="Q158" s="172" t="e">
        <f t="shared" si="48"/>
        <v>#REF!</v>
      </c>
      <c r="R158" s="172" t="e">
        <f t="shared" si="48"/>
        <v>#REF!</v>
      </c>
      <c r="S158" s="172" t="str">
        <f t="shared" si="45"/>
        <v> </v>
      </c>
      <c r="T158" s="202"/>
      <c r="U158" s="203"/>
    </row>
    <row r="159" spans="8:21" ht="10.5">
      <c r="H159" s="256"/>
      <c r="I159" s="176" t="s">
        <v>499</v>
      </c>
      <c r="J159" s="177" t="e">
        <f t="shared" si="41"/>
        <v>#REF!</v>
      </c>
      <c r="K159" s="204" t="str">
        <f>N143</f>
        <v>12</v>
      </c>
      <c r="L159" s="204" t="str">
        <f t="shared" si="47"/>
        <v>03</v>
      </c>
      <c r="M159" s="204" t="str">
        <f t="shared" si="47"/>
        <v>06</v>
      </c>
      <c r="N159" s="204" t="str">
        <f t="shared" si="47"/>
        <v>09</v>
      </c>
      <c r="O159" s="204" t="str">
        <f>R143</f>
        <v>12</v>
      </c>
      <c r="P159" s="204" t="str">
        <f t="shared" si="48"/>
        <v>03</v>
      </c>
      <c r="Q159" s="204" t="str">
        <f t="shared" si="48"/>
        <v>06</v>
      </c>
      <c r="R159" s="204" t="str">
        <f t="shared" si="48"/>
        <v>09</v>
      </c>
      <c r="S159" s="186">
        <f t="shared" si="45"/>
      </c>
      <c r="T159" s="205"/>
      <c r="U159" s="206"/>
    </row>
    <row r="160" spans="8:21" ht="10.5" thickBot="1">
      <c r="H160" s="256"/>
      <c r="I160" s="170" t="s">
        <v>500</v>
      </c>
      <c r="J160" s="171" t="e">
        <f t="shared" si="41"/>
        <v>#REF!</v>
      </c>
      <c r="K160" s="172" t="e">
        <f>ActYear_m3Y&amp;$S160&amp;K159</f>
        <v>#REF!</v>
      </c>
      <c r="L160" s="172" t="e">
        <f t="shared" si="47"/>
        <v>#REF!</v>
      </c>
      <c r="M160" s="172" t="e">
        <f t="shared" si="47"/>
        <v>#REF!</v>
      </c>
      <c r="N160" s="172" t="e">
        <f t="shared" si="47"/>
        <v>#REF!</v>
      </c>
      <c r="O160" s="172" t="e">
        <f>ActYear_m3Y&amp;$S160&amp;O159</f>
        <v>#REF!</v>
      </c>
      <c r="P160" s="172" t="e">
        <f t="shared" si="48"/>
        <v>#REF!</v>
      </c>
      <c r="Q160" s="172" t="e">
        <f t="shared" si="48"/>
        <v>#REF!</v>
      </c>
      <c r="R160" s="172" t="e">
        <f t="shared" si="48"/>
        <v>#REF!</v>
      </c>
      <c r="S160" s="172" t="str">
        <f t="shared" si="45"/>
        <v> </v>
      </c>
      <c r="T160" s="202"/>
      <c r="U160" s="203"/>
    </row>
    <row r="161" spans="8:21" ht="10.5">
      <c r="H161" s="256"/>
      <c r="I161" s="176" t="s">
        <v>501</v>
      </c>
      <c r="J161" s="177" t="e">
        <f t="shared" si="41"/>
        <v>#REF!</v>
      </c>
      <c r="K161" s="186" t="str">
        <f>N145</f>
        <v>31 dec.</v>
      </c>
      <c r="L161" s="186" t="str">
        <f t="shared" si="47"/>
        <v>31 mar.</v>
      </c>
      <c r="M161" s="186" t="str">
        <f t="shared" si="47"/>
        <v>30 jun.</v>
      </c>
      <c r="N161" s="186" t="str">
        <f t="shared" si="47"/>
        <v>30 sep.</v>
      </c>
      <c r="O161" s="186" t="str">
        <f>R145</f>
        <v>Dec. 31</v>
      </c>
      <c r="P161" s="186" t="str">
        <f t="shared" si="48"/>
        <v>Mar. 31</v>
      </c>
      <c r="Q161" s="186" t="str">
        <f t="shared" si="48"/>
        <v>Jun. 30</v>
      </c>
      <c r="R161" s="186" t="str">
        <f t="shared" si="48"/>
        <v>Sep. 30</v>
      </c>
      <c r="S161" s="186">
        <f t="shared" si="45"/>
      </c>
      <c r="T161" s="205"/>
      <c r="U161" s="206"/>
    </row>
    <row r="162" spans="8:21" ht="10.5">
      <c r="H162" s="256"/>
      <c r="I162" s="164" t="s">
        <v>502</v>
      </c>
      <c r="J162" s="182" t="e">
        <f t="shared" si="41"/>
        <v>#REF!</v>
      </c>
      <c r="K162" s="183" t="e">
        <f>_XLL.SLUTMÅNAD(DATE(ActYear_m3Y,K159,1),0)</f>
        <v>#REF!</v>
      </c>
      <c r="L162" s="183" t="e">
        <f t="shared" si="47"/>
        <v>#REF!</v>
      </c>
      <c r="M162" s="183" t="e">
        <f t="shared" si="47"/>
        <v>#REF!</v>
      </c>
      <c r="N162" s="183" t="e">
        <f t="shared" si="47"/>
        <v>#REF!</v>
      </c>
      <c r="O162" s="183" t="e">
        <f>_XLL.SLUTMÅNAD(DATE(ActYear_m3Y,O159,1),0)</f>
        <v>#REF!</v>
      </c>
      <c r="P162" s="183" t="e">
        <f t="shared" si="48"/>
        <v>#REF!</v>
      </c>
      <c r="Q162" s="183" t="e">
        <f t="shared" si="48"/>
        <v>#REF!</v>
      </c>
      <c r="R162" s="183" t="e">
        <f t="shared" si="48"/>
        <v>#REF!</v>
      </c>
      <c r="S162" s="166">
        <f t="shared" si="45"/>
      </c>
      <c r="T162" s="197"/>
      <c r="U162" s="198"/>
    </row>
    <row r="163" spans="8:21" ht="10.5">
      <c r="H163" s="256"/>
      <c r="I163" s="164" t="s">
        <v>503</v>
      </c>
      <c r="J163" s="165" t="e">
        <f t="shared" si="41"/>
        <v>#REF!</v>
      </c>
      <c r="K163" s="166" t="e">
        <f>K161&amp;$S163&amp;ActYear_m3Y</f>
        <v>#REF!</v>
      </c>
      <c r="L163" s="166" t="e">
        <f t="shared" si="47"/>
        <v>#REF!</v>
      </c>
      <c r="M163" s="166" t="e">
        <f t="shared" si="47"/>
        <v>#REF!</v>
      </c>
      <c r="N163" s="166" t="e">
        <f t="shared" si="47"/>
        <v>#REF!</v>
      </c>
      <c r="O163" s="166" t="e">
        <f>O161&amp;","&amp;$S163&amp;ActYear_m3Y</f>
        <v>#REF!</v>
      </c>
      <c r="P163" s="166" t="e">
        <f t="shared" si="48"/>
        <v>#REF!</v>
      </c>
      <c r="Q163" s="166" t="e">
        <f t="shared" si="48"/>
        <v>#REF!</v>
      </c>
      <c r="R163" s="166" t="e">
        <f t="shared" si="48"/>
        <v>#REF!</v>
      </c>
      <c r="S163" s="166" t="str">
        <f t="shared" si="45"/>
        <v> </v>
      </c>
      <c r="T163" s="197"/>
      <c r="U163" s="198"/>
    </row>
    <row r="164" spans="8:21" ht="10.5" thickBot="1">
      <c r="H164" s="256"/>
      <c r="I164" s="170" t="s">
        <v>504</v>
      </c>
      <c r="J164" s="171" t="e">
        <f t="shared" si="41"/>
        <v>#REF!</v>
      </c>
      <c r="K164" s="172" t="e">
        <f>K161&amp;$S164&amp;ActY_m3Y</f>
        <v>#REF!</v>
      </c>
      <c r="L164" s="172" t="e">
        <f t="shared" si="47"/>
        <v>#REF!</v>
      </c>
      <c r="M164" s="172" t="e">
        <f t="shared" si="47"/>
        <v>#REF!</v>
      </c>
      <c r="N164" s="172" t="e">
        <f t="shared" si="47"/>
        <v>#REF!</v>
      </c>
      <c r="O164" s="172" t="e">
        <f>O161&amp;$S164&amp;ActY_m3Y</f>
        <v>#REF!</v>
      </c>
      <c r="P164" s="172" t="e">
        <f t="shared" si="48"/>
        <v>#REF!</v>
      </c>
      <c r="Q164" s="172" t="e">
        <f t="shared" si="48"/>
        <v>#REF!</v>
      </c>
      <c r="R164" s="172" t="e">
        <f t="shared" si="48"/>
        <v>#REF!</v>
      </c>
      <c r="S164" s="172" t="str">
        <f t="shared" si="45"/>
        <v> </v>
      </c>
      <c r="T164" s="202"/>
      <c r="U164" s="203"/>
    </row>
    <row r="165" spans="8:21" ht="10.5">
      <c r="H165" s="256"/>
      <c r="I165" s="176" t="s">
        <v>505</v>
      </c>
      <c r="J165" s="177" t="e">
        <f t="shared" si="41"/>
        <v>#REF!</v>
      </c>
      <c r="K165" s="186" t="e">
        <f>K167&amp;$S165&amp;ActYear_m3Y</f>
        <v>#REF!</v>
      </c>
      <c r="L165" s="186" t="e">
        <f t="shared" si="47"/>
        <v>#REF!</v>
      </c>
      <c r="M165" s="186" t="e">
        <f t="shared" si="47"/>
        <v>#REF!</v>
      </c>
      <c r="N165" s="186" t="e">
        <f t="shared" si="47"/>
        <v>#REF!</v>
      </c>
      <c r="O165" s="186" t="e">
        <f>O167&amp;$S165&amp;ActYear_m3Y</f>
        <v>#REF!</v>
      </c>
      <c r="P165" s="186" t="e">
        <f t="shared" si="48"/>
        <v>#REF!</v>
      </c>
      <c r="Q165" s="186" t="e">
        <f t="shared" si="48"/>
        <v>#REF!</v>
      </c>
      <c r="R165" s="186" t="e">
        <f t="shared" si="48"/>
        <v>#REF!</v>
      </c>
      <c r="S165" s="186" t="str">
        <f t="shared" si="45"/>
        <v> </v>
      </c>
      <c r="T165" s="205"/>
      <c r="U165" s="206"/>
    </row>
    <row r="166" spans="8:21" ht="10.5" thickBot="1">
      <c r="H166" s="256"/>
      <c r="I166" s="170" t="s">
        <v>506</v>
      </c>
      <c r="J166" s="171" t="e">
        <f t="shared" si="41"/>
        <v>#REF!</v>
      </c>
      <c r="K166" s="172" t="e">
        <f>K167&amp;$S165&amp;ActY_m3Y</f>
        <v>#REF!</v>
      </c>
      <c r="L166" s="172" t="e">
        <f t="shared" si="47"/>
        <v>#REF!</v>
      </c>
      <c r="M166" s="172" t="e">
        <f t="shared" si="47"/>
        <v>#REF!</v>
      </c>
      <c r="N166" s="172" t="e">
        <f t="shared" si="47"/>
        <v>#REF!</v>
      </c>
      <c r="O166" s="172" t="e">
        <f>O167&amp;$S165&amp;ActY_m3Y</f>
        <v>#REF!</v>
      </c>
      <c r="P166" s="172" t="e">
        <f t="shared" si="48"/>
        <v>#REF!</v>
      </c>
      <c r="Q166" s="172" t="e">
        <f t="shared" si="48"/>
        <v>#REF!</v>
      </c>
      <c r="R166" s="172" t="e">
        <f t="shared" si="48"/>
        <v>#REF!</v>
      </c>
      <c r="S166" s="172">
        <f t="shared" si="45"/>
      </c>
      <c r="T166" s="202"/>
      <c r="U166" s="203"/>
    </row>
    <row r="167" spans="8:21" ht="10.5">
      <c r="H167" s="256"/>
      <c r="I167" s="176" t="s">
        <v>507</v>
      </c>
      <c r="J167" s="177" t="e">
        <f>INDEX(K167:R167,,SelectIdx)</f>
        <v>#REF!</v>
      </c>
      <c r="K167" s="186" t="str">
        <f>N151</f>
        <v>okt-dec</v>
      </c>
      <c r="L167" s="186" t="str">
        <f t="shared" si="47"/>
        <v>jan-mar</v>
      </c>
      <c r="M167" s="186" t="str">
        <f t="shared" si="47"/>
        <v>apr-jun</v>
      </c>
      <c r="N167" s="186" t="str">
        <f t="shared" si="47"/>
        <v>jul-sep</v>
      </c>
      <c r="O167" s="186" t="str">
        <f>R151</f>
        <v>Oct-Dec</v>
      </c>
      <c r="P167" s="186" t="str">
        <f t="shared" si="48"/>
        <v>Jan-Mar</v>
      </c>
      <c r="Q167" s="186" t="str">
        <f t="shared" si="48"/>
        <v>Apr-Jun</v>
      </c>
      <c r="R167" s="186" t="str">
        <f t="shared" si="48"/>
        <v>Jul-Sep</v>
      </c>
      <c r="S167" s="186">
        <f t="shared" si="45"/>
      </c>
      <c r="T167" s="205"/>
      <c r="U167" s="206"/>
    </row>
    <row r="168" spans="8:21" ht="10.5" thickBot="1">
      <c r="H168" s="257"/>
      <c r="I168" s="208" t="s">
        <v>508</v>
      </c>
      <c r="J168" s="209" t="e">
        <f>INDEX(K168:R168,,SelectIdx)</f>
        <v>#REF!</v>
      </c>
      <c r="K168" s="210" t="str">
        <f>N152</f>
        <v>jan-dec</v>
      </c>
      <c r="L168" s="210" t="str">
        <f t="shared" si="47"/>
        <v>jan-mar</v>
      </c>
      <c r="M168" s="210" t="str">
        <f t="shared" si="47"/>
        <v>jan-jun</v>
      </c>
      <c r="N168" s="210" t="str">
        <f t="shared" si="47"/>
        <v>jan-sep</v>
      </c>
      <c r="O168" s="210" t="str">
        <f>R152</f>
        <v>Jan-Dec</v>
      </c>
      <c r="P168" s="210" t="str">
        <f t="shared" si="48"/>
        <v>Jan-Mar</v>
      </c>
      <c r="Q168" s="210" t="str">
        <f t="shared" si="48"/>
        <v>Jan-Jun</v>
      </c>
      <c r="R168" s="210" t="str">
        <f t="shared" si="48"/>
        <v>Jan-Sep</v>
      </c>
      <c r="S168" s="210">
        <f t="shared" si="45"/>
      </c>
      <c r="T168" s="211"/>
      <c r="U168" s="212"/>
    </row>
    <row r="169" ht="11.25" thickBot="1" thickTop="1">
      <c r="J169" s="213"/>
    </row>
    <row r="170" spans="8:21" ht="13.5" customHeight="1" thickTop="1">
      <c r="H170" s="265" t="s">
        <v>509</v>
      </c>
      <c r="I170" s="214" t="s">
        <v>510</v>
      </c>
      <c r="J170" s="215" t="e">
        <f aca="true" t="shared" si="49" ref="J170:J185">INDEX(K170:R170,,SelectIdx)</f>
        <v>#REF!</v>
      </c>
      <c r="K170" s="216">
        <v>1</v>
      </c>
      <c r="L170" s="216">
        <v>2</v>
      </c>
      <c r="M170" s="216">
        <v>3</v>
      </c>
      <c r="N170" s="216">
        <v>4</v>
      </c>
      <c r="O170" s="216">
        <v>1</v>
      </c>
      <c r="P170" s="216">
        <v>2</v>
      </c>
      <c r="Q170" s="216">
        <v>3</v>
      </c>
      <c r="R170" s="216">
        <v>4</v>
      </c>
      <c r="S170" s="217">
        <f aca="true" t="shared" si="50" ref="S170:S185">IF(S153="","",S153)</f>
      </c>
      <c r="T170" s="218"/>
      <c r="U170" s="219"/>
    </row>
    <row r="171" spans="8:21" ht="10.5">
      <c r="H171" s="266"/>
      <c r="I171" s="164" t="s">
        <v>511</v>
      </c>
      <c r="J171" s="165" t="e">
        <f t="shared" si="49"/>
        <v>#REF!</v>
      </c>
      <c r="K171" s="166" t="str">
        <f aca="true" t="shared" si="51" ref="K171:R171">"Q"&amp;K170</f>
        <v>Q1</v>
      </c>
      <c r="L171" s="166" t="str">
        <f t="shared" si="51"/>
        <v>Q2</v>
      </c>
      <c r="M171" s="166" t="str">
        <f t="shared" si="51"/>
        <v>Q3</v>
      </c>
      <c r="N171" s="166" t="str">
        <f t="shared" si="51"/>
        <v>Q4</v>
      </c>
      <c r="O171" s="166" t="str">
        <f t="shared" si="51"/>
        <v>Q1</v>
      </c>
      <c r="P171" s="166" t="str">
        <f t="shared" si="51"/>
        <v>Q2</v>
      </c>
      <c r="Q171" s="166" t="str">
        <f t="shared" si="51"/>
        <v>Q3</v>
      </c>
      <c r="R171" s="166" t="str">
        <f t="shared" si="51"/>
        <v>Q4</v>
      </c>
      <c r="S171" s="166">
        <f t="shared" si="50"/>
      </c>
      <c r="T171" s="197"/>
      <c r="U171" s="220"/>
    </row>
    <row r="172" spans="8:21" ht="10.5">
      <c r="H172" s="266"/>
      <c r="I172" s="164" t="s">
        <v>512</v>
      </c>
      <c r="J172" s="165" t="e">
        <f t="shared" si="49"/>
        <v>#REF!</v>
      </c>
      <c r="K172" s="166" t="e">
        <f aca="true" t="shared" si="52" ref="K172:R172">K171&amp;$S11&amp;ActYear_m1Y</f>
        <v>#REF!</v>
      </c>
      <c r="L172" s="166" t="e">
        <f t="shared" si="52"/>
        <v>#REF!</v>
      </c>
      <c r="M172" s="166" t="e">
        <f t="shared" si="52"/>
        <v>#REF!</v>
      </c>
      <c r="N172" s="166" t="e">
        <f t="shared" si="52"/>
        <v>#REF!</v>
      </c>
      <c r="O172" s="166" t="e">
        <f t="shared" si="52"/>
        <v>#REF!</v>
      </c>
      <c r="P172" s="166" t="e">
        <f t="shared" si="52"/>
        <v>#REF!</v>
      </c>
      <c r="Q172" s="166" t="e">
        <f t="shared" si="52"/>
        <v>#REF!</v>
      </c>
      <c r="R172" s="166" t="e">
        <f t="shared" si="52"/>
        <v>#REF!</v>
      </c>
      <c r="S172" s="166" t="str">
        <f t="shared" si="50"/>
        <v> </v>
      </c>
      <c r="T172" s="197"/>
      <c r="U172" s="220"/>
    </row>
    <row r="173" spans="8:21" ht="10.5">
      <c r="H173" s="266"/>
      <c r="I173" s="164" t="s">
        <v>513</v>
      </c>
      <c r="J173" s="165" t="e">
        <f t="shared" si="49"/>
        <v>#REF!</v>
      </c>
      <c r="K173" s="166" t="e">
        <f aca="true" t="shared" si="53" ref="K173:R173">K171&amp;$S12&amp;ActY_m1Y</f>
        <v>#REF!</v>
      </c>
      <c r="L173" s="166" t="e">
        <f t="shared" si="53"/>
        <v>#REF!</v>
      </c>
      <c r="M173" s="166" t="e">
        <f t="shared" si="53"/>
        <v>#REF!</v>
      </c>
      <c r="N173" s="166" t="e">
        <f t="shared" si="53"/>
        <v>#REF!</v>
      </c>
      <c r="O173" s="166" t="e">
        <f t="shared" si="53"/>
        <v>#REF!</v>
      </c>
      <c r="P173" s="166" t="e">
        <f t="shared" si="53"/>
        <v>#REF!</v>
      </c>
      <c r="Q173" s="166" t="e">
        <f t="shared" si="53"/>
        <v>#REF!</v>
      </c>
      <c r="R173" s="166" t="e">
        <f t="shared" si="53"/>
        <v>#REF!</v>
      </c>
      <c r="S173" s="166" t="str">
        <f t="shared" si="50"/>
        <v> </v>
      </c>
      <c r="T173" s="197"/>
      <c r="U173" s="220"/>
    </row>
    <row r="174" spans="8:21" ht="10.5">
      <c r="H174" s="266"/>
      <c r="I174" s="164" t="s">
        <v>514</v>
      </c>
      <c r="J174" s="165" t="e">
        <f t="shared" si="49"/>
        <v>#REF!</v>
      </c>
      <c r="K174" s="166" t="e">
        <f aca="true" t="shared" si="54" ref="K174:R174">K170&amp;$S13&amp;ActYear_m1Y</f>
        <v>#REF!</v>
      </c>
      <c r="L174" s="166" t="e">
        <f t="shared" si="54"/>
        <v>#REF!</v>
      </c>
      <c r="M174" s="166" t="e">
        <f t="shared" si="54"/>
        <v>#REF!</v>
      </c>
      <c r="N174" s="166" t="e">
        <f t="shared" si="54"/>
        <v>#REF!</v>
      </c>
      <c r="O174" s="166" t="e">
        <f t="shared" si="54"/>
        <v>#REF!</v>
      </c>
      <c r="P174" s="166" t="e">
        <f t="shared" si="54"/>
        <v>#REF!</v>
      </c>
      <c r="Q174" s="166" t="e">
        <f t="shared" si="54"/>
        <v>#REF!</v>
      </c>
      <c r="R174" s="166" t="e">
        <f t="shared" si="54"/>
        <v>#REF!</v>
      </c>
      <c r="S174" s="166" t="str">
        <f t="shared" si="50"/>
        <v> </v>
      </c>
      <c r="T174" s="197"/>
      <c r="U174" s="220"/>
    </row>
    <row r="175" spans="8:21" ht="10.5" thickBot="1">
      <c r="H175" s="266"/>
      <c r="I175" s="170" t="s">
        <v>515</v>
      </c>
      <c r="J175" s="171" t="e">
        <f t="shared" si="49"/>
        <v>#REF!</v>
      </c>
      <c r="K175" s="172" t="e">
        <f aca="true" t="shared" si="55" ref="K175:R175">K170&amp;$S14&amp;ActY_m1Y</f>
        <v>#REF!</v>
      </c>
      <c r="L175" s="172" t="e">
        <f t="shared" si="55"/>
        <v>#REF!</v>
      </c>
      <c r="M175" s="172" t="e">
        <f t="shared" si="55"/>
        <v>#REF!</v>
      </c>
      <c r="N175" s="172" t="e">
        <f t="shared" si="55"/>
        <v>#REF!</v>
      </c>
      <c r="O175" s="172" t="e">
        <f t="shared" si="55"/>
        <v>#REF!</v>
      </c>
      <c r="P175" s="172" t="e">
        <f t="shared" si="55"/>
        <v>#REF!</v>
      </c>
      <c r="Q175" s="172" t="e">
        <f t="shared" si="55"/>
        <v>#REF!</v>
      </c>
      <c r="R175" s="172" t="e">
        <f t="shared" si="55"/>
        <v>#REF!</v>
      </c>
      <c r="S175" s="172" t="str">
        <f t="shared" si="50"/>
        <v> </v>
      </c>
      <c r="T175" s="202"/>
      <c r="U175" s="221"/>
    </row>
    <row r="176" spans="8:21" ht="10.5">
      <c r="H176" s="266"/>
      <c r="I176" s="176" t="s">
        <v>516</v>
      </c>
      <c r="J176" s="177" t="e">
        <f t="shared" si="49"/>
        <v>#REF!</v>
      </c>
      <c r="K176" s="178" t="s">
        <v>280</v>
      </c>
      <c r="L176" s="178" t="s">
        <v>281</v>
      </c>
      <c r="M176" s="178" t="s">
        <v>282</v>
      </c>
      <c r="N176" s="178" t="s">
        <v>283</v>
      </c>
      <c r="O176" s="178" t="s">
        <v>280</v>
      </c>
      <c r="P176" s="178" t="s">
        <v>281</v>
      </c>
      <c r="Q176" s="178" t="s">
        <v>282</v>
      </c>
      <c r="R176" s="178" t="s">
        <v>283</v>
      </c>
      <c r="S176" s="186">
        <f t="shared" si="50"/>
      </c>
      <c r="T176" s="205"/>
      <c r="U176" s="222"/>
    </row>
    <row r="177" spans="8:21" ht="10.5" thickBot="1">
      <c r="H177" s="266"/>
      <c r="I177" s="170" t="s">
        <v>517</v>
      </c>
      <c r="J177" s="171" t="e">
        <f t="shared" si="49"/>
        <v>#REF!</v>
      </c>
      <c r="K177" s="172" t="e">
        <f aca="true" t="shared" si="56" ref="K177:R177">ActYear_m1Y&amp;$S16&amp;K176</f>
        <v>#REF!</v>
      </c>
      <c r="L177" s="172" t="e">
        <f t="shared" si="56"/>
        <v>#REF!</v>
      </c>
      <c r="M177" s="172" t="e">
        <f t="shared" si="56"/>
        <v>#REF!</v>
      </c>
      <c r="N177" s="172" t="e">
        <f t="shared" si="56"/>
        <v>#REF!</v>
      </c>
      <c r="O177" s="172" t="e">
        <f t="shared" si="56"/>
        <v>#REF!</v>
      </c>
      <c r="P177" s="172" t="e">
        <f t="shared" si="56"/>
        <v>#REF!</v>
      </c>
      <c r="Q177" s="172" t="e">
        <f t="shared" si="56"/>
        <v>#REF!</v>
      </c>
      <c r="R177" s="172" t="e">
        <f t="shared" si="56"/>
        <v>#REF!</v>
      </c>
      <c r="S177" s="172" t="str">
        <f t="shared" si="50"/>
        <v> </v>
      </c>
      <c r="T177" s="202"/>
      <c r="U177" s="221"/>
    </row>
    <row r="178" spans="8:21" ht="10.5">
      <c r="H178" s="266"/>
      <c r="I178" s="176" t="s">
        <v>518</v>
      </c>
      <c r="J178" s="177" t="e">
        <f t="shared" si="49"/>
        <v>#REF!</v>
      </c>
      <c r="K178" s="179" t="s">
        <v>290</v>
      </c>
      <c r="L178" s="179" t="s">
        <v>291</v>
      </c>
      <c r="M178" s="179" t="s">
        <v>292</v>
      </c>
      <c r="N178" s="179" t="s">
        <v>293</v>
      </c>
      <c r="O178" s="179" t="s">
        <v>294</v>
      </c>
      <c r="P178" s="179" t="s">
        <v>295</v>
      </c>
      <c r="Q178" s="179" t="s">
        <v>296</v>
      </c>
      <c r="R178" s="179" t="s">
        <v>297</v>
      </c>
      <c r="S178" s="186">
        <f t="shared" si="50"/>
      </c>
      <c r="T178" s="205"/>
      <c r="U178" s="222"/>
    </row>
    <row r="179" spans="8:21" ht="10.5">
      <c r="H179" s="266"/>
      <c r="I179" s="164" t="s">
        <v>519</v>
      </c>
      <c r="J179" s="182" t="e">
        <f t="shared" si="49"/>
        <v>#REF!</v>
      </c>
      <c r="K179" s="183" t="e">
        <f aca="true" t="shared" si="57" ref="K179:R179">_XLL.SLUTMÅNAD(DATE(ActYear_m1Y,K176,1),0)</f>
        <v>#REF!</v>
      </c>
      <c r="L179" s="183" t="e">
        <f t="shared" si="57"/>
        <v>#REF!</v>
      </c>
      <c r="M179" s="183" t="e">
        <f t="shared" si="57"/>
        <v>#REF!</v>
      </c>
      <c r="N179" s="183" t="e">
        <f t="shared" si="57"/>
        <v>#REF!</v>
      </c>
      <c r="O179" s="183" t="e">
        <f t="shared" si="57"/>
        <v>#REF!</v>
      </c>
      <c r="P179" s="183" t="e">
        <f t="shared" si="57"/>
        <v>#REF!</v>
      </c>
      <c r="Q179" s="183" t="e">
        <f t="shared" si="57"/>
        <v>#REF!</v>
      </c>
      <c r="R179" s="183" t="e">
        <f t="shared" si="57"/>
        <v>#REF!</v>
      </c>
      <c r="S179" s="166">
        <f t="shared" si="50"/>
      </c>
      <c r="T179" s="197"/>
      <c r="U179" s="220"/>
    </row>
    <row r="180" spans="8:21" ht="10.5">
      <c r="H180" s="266"/>
      <c r="I180" s="164" t="s">
        <v>520</v>
      </c>
      <c r="J180" s="165" t="e">
        <f t="shared" si="49"/>
        <v>#REF!</v>
      </c>
      <c r="K180" s="166" t="e">
        <f>K178&amp;$S19&amp;ActYear_m1Y</f>
        <v>#REF!</v>
      </c>
      <c r="L180" s="166" t="e">
        <f>L178&amp;$S19&amp;ActYear_m1Y</f>
        <v>#REF!</v>
      </c>
      <c r="M180" s="166" t="e">
        <f>M178&amp;$S19&amp;ActYear_m1Y</f>
        <v>#REF!</v>
      </c>
      <c r="N180" s="166" t="e">
        <f>N178&amp;$S19&amp;ActYear_m1Y</f>
        <v>#REF!</v>
      </c>
      <c r="O180" s="166" t="e">
        <f>O178&amp;","&amp;$S19&amp;ActYear_m1Y</f>
        <v>#REF!</v>
      </c>
      <c r="P180" s="166" t="e">
        <f>P178&amp;","&amp;$S19&amp;ActYear_m1Y</f>
        <v>#REF!</v>
      </c>
      <c r="Q180" s="166" t="e">
        <f>Q178&amp;","&amp;$S19&amp;ActYear_m1Y</f>
        <v>#REF!</v>
      </c>
      <c r="R180" s="166" t="e">
        <f>R178&amp;","&amp;$S19&amp;ActYear_m1Y</f>
        <v>#REF!</v>
      </c>
      <c r="S180" s="166" t="str">
        <f t="shared" si="50"/>
        <v> </v>
      </c>
      <c r="T180" s="197"/>
      <c r="U180" s="220"/>
    </row>
    <row r="181" spans="8:21" ht="10.5" thickBot="1">
      <c r="H181" s="266"/>
      <c r="I181" s="170" t="s">
        <v>521</v>
      </c>
      <c r="J181" s="171" t="e">
        <f t="shared" si="49"/>
        <v>#REF!</v>
      </c>
      <c r="K181" s="172" t="e">
        <f aca="true" t="shared" si="58" ref="K181:R181">K178&amp;$S20&amp;ActY_m1Y</f>
        <v>#REF!</v>
      </c>
      <c r="L181" s="172" t="e">
        <f t="shared" si="58"/>
        <v>#REF!</v>
      </c>
      <c r="M181" s="172" t="e">
        <f t="shared" si="58"/>
        <v>#REF!</v>
      </c>
      <c r="N181" s="172" t="e">
        <f t="shared" si="58"/>
        <v>#REF!</v>
      </c>
      <c r="O181" s="172" t="e">
        <f t="shared" si="58"/>
        <v>#REF!</v>
      </c>
      <c r="P181" s="172" t="e">
        <f t="shared" si="58"/>
        <v>#REF!</v>
      </c>
      <c r="Q181" s="172" t="e">
        <f t="shared" si="58"/>
        <v>#REF!</v>
      </c>
      <c r="R181" s="172" t="e">
        <f t="shared" si="58"/>
        <v>#REF!</v>
      </c>
      <c r="S181" s="172" t="str">
        <f t="shared" si="50"/>
        <v> </v>
      </c>
      <c r="T181" s="202"/>
      <c r="U181" s="221"/>
    </row>
    <row r="182" spans="8:21" ht="10.5">
      <c r="H182" s="266"/>
      <c r="I182" s="176" t="s">
        <v>522</v>
      </c>
      <c r="J182" s="177" t="e">
        <f t="shared" si="49"/>
        <v>#REF!</v>
      </c>
      <c r="K182" s="186" t="e">
        <f aca="true" t="shared" si="59" ref="K182:R182">K184&amp;$S21&amp;ActYear_m1Y</f>
        <v>#REF!</v>
      </c>
      <c r="L182" s="186" t="e">
        <f t="shared" si="59"/>
        <v>#REF!</v>
      </c>
      <c r="M182" s="186" t="e">
        <f t="shared" si="59"/>
        <v>#REF!</v>
      </c>
      <c r="N182" s="186" t="e">
        <f t="shared" si="59"/>
        <v>#REF!</v>
      </c>
      <c r="O182" s="186" t="e">
        <f t="shared" si="59"/>
        <v>#REF!</v>
      </c>
      <c r="P182" s="186" t="e">
        <f t="shared" si="59"/>
        <v>#REF!</v>
      </c>
      <c r="Q182" s="186" t="e">
        <f t="shared" si="59"/>
        <v>#REF!</v>
      </c>
      <c r="R182" s="186" t="e">
        <f t="shared" si="59"/>
        <v>#REF!</v>
      </c>
      <c r="S182" s="186" t="str">
        <f t="shared" si="50"/>
        <v> </v>
      </c>
      <c r="T182" s="205"/>
      <c r="U182" s="222"/>
    </row>
    <row r="183" spans="8:21" ht="10.5" thickBot="1">
      <c r="H183" s="266"/>
      <c r="I183" s="170" t="s">
        <v>523</v>
      </c>
      <c r="J183" s="171" t="e">
        <f t="shared" si="49"/>
        <v>#REF!</v>
      </c>
      <c r="K183" s="172" t="e">
        <f aca="true" t="shared" si="60" ref="K183:R183">K184&amp;$S21&amp;ActY_m1Y</f>
        <v>#REF!</v>
      </c>
      <c r="L183" s="172" t="e">
        <f t="shared" si="60"/>
        <v>#REF!</v>
      </c>
      <c r="M183" s="172" t="e">
        <f t="shared" si="60"/>
        <v>#REF!</v>
      </c>
      <c r="N183" s="172" t="e">
        <f t="shared" si="60"/>
        <v>#REF!</v>
      </c>
      <c r="O183" s="172" t="e">
        <f t="shared" si="60"/>
        <v>#REF!</v>
      </c>
      <c r="P183" s="172" t="e">
        <f t="shared" si="60"/>
        <v>#REF!</v>
      </c>
      <c r="Q183" s="172" t="e">
        <f t="shared" si="60"/>
        <v>#REF!</v>
      </c>
      <c r="R183" s="172" t="e">
        <f t="shared" si="60"/>
        <v>#REF!</v>
      </c>
      <c r="S183" s="172">
        <f t="shared" si="50"/>
      </c>
      <c r="T183" s="202"/>
      <c r="U183" s="221"/>
    </row>
    <row r="184" spans="8:21" ht="10.5">
      <c r="H184" s="266"/>
      <c r="I184" s="176" t="s">
        <v>524</v>
      </c>
      <c r="J184" s="177" t="e">
        <f t="shared" si="49"/>
        <v>#REF!</v>
      </c>
      <c r="K184" s="179" t="s">
        <v>525</v>
      </c>
      <c r="L184" s="179" t="s">
        <v>526</v>
      </c>
      <c r="M184" s="179" t="s">
        <v>527</v>
      </c>
      <c r="N184" s="179" t="s">
        <v>528</v>
      </c>
      <c r="O184" s="179" t="s">
        <v>315</v>
      </c>
      <c r="P184" s="179" t="s">
        <v>316</v>
      </c>
      <c r="Q184" s="179" t="s">
        <v>317</v>
      </c>
      <c r="R184" s="179" t="s">
        <v>318</v>
      </c>
      <c r="S184" s="186">
        <f t="shared" si="50"/>
      </c>
      <c r="T184" s="205"/>
      <c r="U184" s="222"/>
    </row>
    <row r="185" spans="8:21" ht="10.5" thickBot="1">
      <c r="H185" s="267"/>
      <c r="I185" s="223" t="s">
        <v>529</v>
      </c>
      <c r="J185" s="224" t="e">
        <f t="shared" si="49"/>
        <v>#REF!</v>
      </c>
      <c r="K185" s="225" t="s">
        <v>525</v>
      </c>
      <c r="L185" s="225" t="s">
        <v>530</v>
      </c>
      <c r="M185" s="225" t="s">
        <v>531</v>
      </c>
      <c r="N185" s="225" t="s">
        <v>532</v>
      </c>
      <c r="O185" s="225" t="s">
        <v>315</v>
      </c>
      <c r="P185" s="225" t="s">
        <v>323</v>
      </c>
      <c r="Q185" s="225" t="s">
        <v>324</v>
      </c>
      <c r="R185" s="225" t="s">
        <v>309</v>
      </c>
      <c r="S185" s="226">
        <f t="shared" si="50"/>
      </c>
      <c r="T185" s="227"/>
      <c r="U185" s="228"/>
    </row>
    <row r="186" ht="11.25" thickBot="1" thickTop="1"/>
    <row r="187" spans="8:21" ht="13.5" customHeight="1" thickBot="1" thickTop="1">
      <c r="H187" s="265" t="s">
        <v>533</v>
      </c>
      <c r="I187" s="214"/>
      <c r="J187" s="215" t="e">
        <f>INDEX(K187:R187,,SelectIdx)</f>
        <v>#REF!</v>
      </c>
      <c r="K187" s="216">
        <v>1</v>
      </c>
      <c r="L187" s="216">
        <v>2</v>
      </c>
      <c r="M187" s="216">
        <v>3</v>
      </c>
      <c r="N187" s="216">
        <v>4</v>
      </c>
      <c r="O187" s="216">
        <v>1</v>
      </c>
      <c r="P187" s="216">
        <v>2</v>
      </c>
      <c r="Q187" s="216">
        <v>3</v>
      </c>
      <c r="R187" s="216">
        <v>4</v>
      </c>
      <c r="S187" s="217">
        <f>IF(S170="","",S170)</f>
      </c>
      <c r="T187" s="218"/>
      <c r="U187" s="219"/>
    </row>
    <row r="188" spans="8:21" ht="10.5" thickBot="1">
      <c r="H188" s="266"/>
      <c r="I188" s="176" t="s">
        <v>534</v>
      </c>
      <c r="J188" s="177" t="e">
        <f>INDEX(K188:R188,,SelectIdx)</f>
        <v>#REF!</v>
      </c>
      <c r="K188" s="229" t="s">
        <v>535</v>
      </c>
      <c r="L188" s="178" t="s">
        <v>536</v>
      </c>
      <c r="M188" s="178" t="s">
        <v>537</v>
      </c>
      <c r="N188" s="178" t="s">
        <v>538</v>
      </c>
      <c r="O188" s="229" t="s">
        <v>539</v>
      </c>
      <c r="P188" s="178" t="s">
        <v>540</v>
      </c>
      <c r="Q188" s="178" t="s">
        <v>541</v>
      </c>
      <c r="R188" s="178" t="s">
        <v>542</v>
      </c>
      <c r="S188" s="186" t="str">
        <f>IF(S177="","",S177)</f>
        <v> </v>
      </c>
      <c r="T188" s="205"/>
      <c r="U188" s="222"/>
    </row>
    <row r="189" spans="8:21" ht="10.5">
      <c r="H189" s="266"/>
      <c r="I189" s="176" t="s">
        <v>543</v>
      </c>
      <c r="J189" s="177" t="e">
        <f>INDEX(K189:R189,,SelectIdx)</f>
        <v>#REF!</v>
      </c>
      <c r="K189" s="230" t="str">
        <f aca="true" t="shared" si="61" ref="K189:R189">K17</f>
        <v>31 mar.</v>
      </c>
      <c r="L189" s="230" t="str">
        <f t="shared" si="61"/>
        <v>30 jun.</v>
      </c>
      <c r="M189" s="230" t="str">
        <f t="shared" si="61"/>
        <v>30 sep.</v>
      </c>
      <c r="N189" s="230" t="str">
        <f t="shared" si="61"/>
        <v>31 dec.</v>
      </c>
      <c r="O189" s="230" t="str">
        <f t="shared" si="61"/>
        <v>Mar. 31</v>
      </c>
      <c r="P189" s="230" t="str">
        <f t="shared" si="61"/>
        <v>Jun. 30</v>
      </c>
      <c r="Q189" s="230" t="str">
        <f t="shared" si="61"/>
        <v>Sep. 30</v>
      </c>
      <c r="R189" s="230" t="str">
        <f t="shared" si="61"/>
        <v>Dec. 31</v>
      </c>
      <c r="S189" s="186">
        <f>IF(S178="","",S178)</f>
      </c>
      <c r="T189" s="205"/>
      <c r="U189" s="222"/>
    </row>
    <row r="190" spans="4:21" ht="10.5" thickBot="1">
      <c r="D190" s="136" t="s">
        <v>544</v>
      </c>
      <c r="H190" s="266"/>
      <c r="I190" s="170" t="s">
        <v>545</v>
      </c>
      <c r="J190" s="171" t="e">
        <f>INDEX(K190:R190,,SelectIdx)</f>
        <v>#REF!</v>
      </c>
      <c r="K190" s="172" t="e">
        <f>K188&amp;$S$190&amp;ActY_m1Y&amp;" - "&amp;K189&amp;$S$190&amp;ActY</f>
        <v>#REF!</v>
      </c>
      <c r="L190" s="172" t="e">
        <f>L188&amp;$S$190&amp;ActY_m1Y&amp;" - "&amp;L189&amp;$S$190&amp;ActY</f>
        <v>#REF!</v>
      </c>
      <c r="M190" s="172" t="e">
        <f>M188&amp;$S$190&amp;ActY_m1Y&amp;" - "&amp;M189&amp;$S$190&amp;ActY</f>
        <v>#REF!</v>
      </c>
      <c r="N190" s="172" t="e">
        <f>N188&amp;$S$190&amp;ActY&amp;" - "&amp;N189&amp;$S$190&amp;ActY</f>
        <v>#REF!</v>
      </c>
      <c r="O190" s="172" t="e">
        <f>O188&amp;$S$190&amp;ActY_m1Y&amp;" - "&amp;O189&amp;$S$190&amp;ActY</f>
        <v>#REF!</v>
      </c>
      <c r="P190" s="172" t="e">
        <f>P188&amp;$S$190&amp;ActY_m1Y&amp;" - "&amp;P189&amp;$S$190&amp;ActY</f>
        <v>#REF!</v>
      </c>
      <c r="Q190" s="172" t="e">
        <f>Q188&amp;$S$190&amp;ActY_m1Y&amp;" - "&amp;Q189&amp;$S$190&amp;ActY</f>
        <v>#REF!</v>
      </c>
      <c r="R190" s="172" t="e">
        <f>R188&amp;$S$190&amp;ActY&amp;" - "&amp;R189&amp;$S$190&amp;ActY</f>
        <v>#REF!</v>
      </c>
      <c r="S190" s="172" t="str">
        <f>IF(S182="","",S182)</f>
        <v> </v>
      </c>
      <c r="T190" s="202"/>
      <c r="U190" s="221"/>
    </row>
    <row r="191" spans="8:21" ht="10.5" thickBot="1">
      <c r="H191" s="267"/>
      <c r="I191" s="223" t="s">
        <v>546</v>
      </c>
      <c r="J191" s="224" t="e">
        <f>INDEX(K191:R191,,SelectIdx)</f>
        <v>#REF!</v>
      </c>
      <c r="K191" s="225" t="s">
        <v>547</v>
      </c>
      <c r="L191" s="225" t="s">
        <v>548</v>
      </c>
      <c r="M191" s="225" t="s">
        <v>549</v>
      </c>
      <c r="N191" s="225" t="s">
        <v>308</v>
      </c>
      <c r="O191" s="225" t="s">
        <v>550</v>
      </c>
      <c r="P191" s="225" t="s">
        <v>551</v>
      </c>
      <c r="Q191" s="225" t="s">
        <v>552</v>
      </c>
      <c r="R191" s="225" t="s">
        <v>309</v>
      </c>
      <c r="S191" s="226">
        <f>IF(S185="","",S185)</f>
      </c>
      <c r="T191" s="227"/>
      <c r="U191" s="228"/>
    </row>
    <row r="192" ht="10.5" thickTop="1"/>
  </sheetData>
  <sheetProtection/>
  <mergeCells count="14">
    <mergeCell ref="H170:H185"/>
    <mergeCell ref="H187:H191"/>
    <mergeCell ref="H73:H88"/>
    <mergeCell ref="H89:H104"/>
    <mergeCell ref="H105:H120"/>
    <mergeCell ref="H121:H136"/>
    <mergeCell ref="H137:H152"/>
    <mergeCell ref="H153:H168"/>
    <mergeCell ref="H57:H72"/>
    <mergeCell ref="I5:I6"/>
    <mergeCell ref="J5:J6"/>
    <mergeCell ref="H9:H24"/>
    <mergeCell ref="H25:H40"/>
    <mergeCell ref="H41:H56"/>
  </mergeCells>
  <dataValidations count="1">
    <dataValidation type="list" allowBlank="1" showInputMessage="1" showErrorMessage="1" sqref="C2:F2">
      <formula1>"SWE,ENG"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0">
    <pageSetUpPr fitToPage="1"/>
  </sheetPr>
  <dimension ref="A1:M19"/>
  <sheetViews>
    <sheetView zoomScale="90" zoomScaleNormal="90" zoomScalePageLayoutView="0" workbookViewId="0" topLeftCell="A1">
      <selection activeCell="A19" sqref="A19:IV19"/>
    </sheetView>
  </sheetViews>
  <sheetFormatPr defaultColWidth="9.140625" defaultRowHeight="12.75"/>
  <cols>
    <col min="1" max="1" width="11.28125" style="69" bestFit="1" customWidth="1"/>
    <col min="2" max="2" width="12.28125" style="0" customWidth="1"/>
    <col min="3" max="3" width="11.28125" style="0" customWidth="1"/>
    <col min="4" max="4" width="31.00390625" style="0" hidden="1" customWidth="1"/>
    <col min="5" max="5" width="39.00390625" style="0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2.75">
      <c r="A4" s="69" t="s">
        <v>6</v>
      </c>
      <c r="B4" s="33" t="s">
        <v>33</v>
      </c>
      <c r="C4" s="17"/>
      <c r="D4" s="53" t="s">
        <v>558</v>
      </c>
      <c r="E4" s="53" t="s">
        <v>558</v>
      </c>
    </row>
    <row r="5" spans="1:13" ht="12.75">
      <c r="A5" s="74"/>
      <c r="B5" s="33" t="s">
        <v>35</v>
      </c>
      <c r="C5" s="39" t="s">
        <v>139</v>
      </c>
      <c r="D5" s="44"/>
      <c r="E5" s="44"/>
      <c r="F5" s="59"/>
      <c r="G5" s="59"/>
      <c r="H5" s="59"/>
      <c r="I5" s="59"/>
      <c r="J5" s="59"/>
      <c r="K5" s="59"/>
      <c r="L5" s="59"/>
      <c r="M5" s="59"/>
    </row>
    <row r="6" spans="1:13" ht="15">
      <c r="A6" s="70" t="s">
        <v>7</v>
      </c>
      <c r="B6" s="42" t="s">
        <v>34</v>
      </c>
      <c r="C6" s="39" t="s">
        <v>139</v>
      </c>
      <c r="D6" s="51" t="s">
        <v>138</v>
      </c>
      <c r="E6" s="51" t="s">
        <v>138</v>
      </c>
      <c r="F6" s="31" t="s">
        <v>554</v>
      </c>
      <c r="G6" s="31" t="s">
        <v>555</v>
      </c>
      <c r="H6" s="31" t="s">
        <v>556</v>
      </c>
      <c r="I6" s="31" t="s">
        <v>557</v>
      </c>
      <c r="J6" s="31" t="s">
        <v>230</v>
      </c>
      <c r="K6" s="31" t="s">
        <v>574</v>
      </c>
      <c r="L6" s="31" t="s">
        <v>575</v>
      </c>
      <c r="M6" s="31" t="s">
        <v>601</v>
      </c>
    </row>
    <row r="7" spans="1:5" s="14" customFormat="1" ht="12.75">
      <c r="A7" s="77" t="s">
        <v>177</v>
      </c>
      <c r="B7" s="77"/>
      <c r="C7" s="77"/>
      <c r="D7" s="14" t="s">
        <v>3</v>
      </c>
      <c r="E7" s="14" t="s">
        <v>3</v>
      </c>
    </row>
    <row r="8" spans="1:13" ht="12">
      <c r="A8" s="74" t="s">
        <v>8</v>
      </c>
      <c r="B8" s="96" t="s">
        <v>11</v>
      </c>
      <c r="C8" s="74"/>
      <c r="D8" s="19" t="s">
        <v>116</v>
      </c>
      <c r="E8" s="19" t="s">
        <v>116</v>
      </c>
      <c r="F8" s="1">
        <v>3197</v>
      </c>
      <c r="G8" s="1">
        <v>3685</v>
      </c>
      <c r="H8" s="1">
        <v>3507</v>
      </c>
      <c r="I8" s="1">
        <v>3986</v>
      </c>
      <c r="J8" s="1">
        <v>3445</v>
      </c>
      <c r="K8" s="1">
        <v>3682</v>
      </c>
      <c r="L8" s="1">
        <v>3801</v>
      </c>
      <c r="M8" s="1">
        <v>4027</v>
      </c>
    </row>
    <row r="9" spans="1:13" ht="12">
      <c r="A9" s="74" t="s">
        <v>8</v>
      </c>
      <c r="B9" s="96" t="s">
        <v>11</v>
      </c>
      <c r="C9" s="74" t="s">
        <v>168</v>
      </c>
      <c r="D9" s="19" t="s">
        <v>172</v>
      </c>
      <c r="E9" s="19" t="s">
        <v>172</v>
      </c>
      <c r="F9" s="2">
        <v>5.8</v>
      </c>
      <c r="G9" s="2">
        <v>1</v>
      </c>
      <c r="H9" s="2">
        <v>5.1</v>
      </c>
      <c r="I9" s="2">
        <v>5.3</v>
      </c>
      <c r="J9" s="2">
        <v>2.2</v>
      </c>
      <c r="K9" s="2">
        <v>-4</v>
      </c>
      <c r="L9" s="2">
        <v>1.5</v>
      </c>
      <c r="M9" s="2">
        <v>-4.2</v>
      </c>
    </row>
    <row r="10" spans="1:13" ht="12">
      <c r="A10" s="74" t="s">
        <v>8</v>
      </c>
      <c r="B10" s="96" t="s">
        <v>11</v>
      </c>
      <c r="C10" s="74" t="s">
        <v>168</v>
      </c>
      <c r="D10" s="19" t="s">
        <v>559</v>
      </c>
      <c r="E10" s="19" t="s">
        <v>559</v>
      </c>
      <c r="F10" s="2">
        <v>4.2</v>
      </c>
      <c r="G10" s="2">
        <v>0</v>
      </c>
      <c r="H10" s="2">
        <v>0</v>
      </c>
      <c r="I10" s="2">
        <v>0</v>
      </c>
      <c r="J10" s="2">
        <v>0.1</v>
      </c>
      <c r="K10" s="2">
        <v>0.1</v>
      </c>
      <c r="L10" s="2">
        <v>0.2</v>
      </c>
      <c r="M10" s="2">
        <v>0.1</v>
      </c>
    </row>
    <row r="11" spans="1:13" ht="12">
      <c r="A11" s="74" t="s">
        <v>8</v>
      </c>
      <c r="B11" s="96" t="s">
        <v>11</v>
      </c>
      <c r="C11" s="74"/>
      <c r="D11" s="19" t="s">
        <v>118</v>
      </c>
      <c r="E11" s="19" t="s">
        <v>118</v>
      </c>
      <c r="F11" s="1">
        <v>163</v>
      </c>
      <c r="G11" s="1">
        <v>243</v>
      </c>
      <c r="H11" s="1">
        <v>270</v>
      </c>
      <c r="I11" s="1">
        <v>302</v>
      </c>
      <c r="J11" s="1">
        <v>110</v>
      </c>
      <c r="K11" s="1">
        <v>171</v>
      </c>
      <c r="L11" s="1">
        <v>-150</v>
      </c>
      <c r="M11" s="1">
        <v>315</v>
      </c>
    </row>
    <row r="12" spans="1:13" ht="12">
      <c r="A12" s="74" t="s">
        <v>8</v>
      </c>
      <c r="B12" s="96" t="s">
        <v>11</v>
      </c>
      <c r="C12" s="74" t="s">
        <v>168</v>
      </c>
      <c r="D12" s="19" t="s">
        <v>169</v>
      </c>
      <c r="E12" s="19" t="s">
        <v>169</v>
      </c>
      <c r="F12" s="2">
        <v>5.1</v>
      </c>
      <c r="G12" s="2">
        <v>6.6</v>
      </c>
      <c r="H12" s="2">
        <v>7.7</v>
      </c>
      <c r="I12" s="2">
        <v>7.6</v>
      </c>
      <c r="J12" s="2">
        <v>3.2</v>
      </c>
      <c r="K12" s="2">
        <v>4.7</v>
      </c>
      <c r="L12" s="2">
        <f>+L11/L8*100-0.1</f>
        <v>-4.046329913180742</v>
      </c>
      <c r="M12" s="2">
        <f>+M11/M8*100</f>
        <v>7.822200148994289</v>
      </c>
    </row>
    <row r="13" spans="1:13" ht="14.25">
      <c r="A13" s="74" t="s">
        <v>8</v>
      </c>
      <c r="B13" s="96" t="s">
        <v>11</v>
      </c>
      <c r="C13" s="74"/>
      <c r="D13" s="19" t="s">
        <v>222</v>
      </c>
      <c r="E13" s="19" t="s">
        <v>222</v>
      </c>
      <c r="F13" s="1">
        <v>163</v>
      </c>
      <c r="G13" s="1">
        <v>243</v>
      </c>
      <c r="H13" s="1">
        <v>270</v>
      </c>
      <c r="I13" s="1">
        <v>302</v>
      </c>
      <c r="J13" s="1">
        <v>110</v>
      </c>
      <c r="K13" s="1">
        <v>171</v>
      </c>
      <c r="L13" s="1">
        <v>248</v>
      </c>
      <c r="M13" s="1">
        <v>315</v>
      </c>
    </row>
    <row r="14" spans="1:13" ht="14.25">
      <c r="A14" s="74" t="s">
        <v>8</v>
      </c>
      <c r="B14" s="235" t="s">
        <v>237</v>
      </c>
      <c r="C14" s="74" t="s">
        <v>168</v>
      </c>
      <c r="D14" s="97" t="s">
        <v>223</v>
      </c>
      <c r="E14" s="97" t="s">
        <v>223</v>
      </c>
      <c r="F14" s="2">
        <v>5.1</v>
      </c>
      <c r="G14" s="2">
        <v>6.6</v>
      </c>
      <c r="H14" s="2">
        <v>7.7</v>
      </c>
      <c r="I14" s="2">
        <v>7.6</v>
      </c>
      <c r="J14" s="2">
        <v>3.2</v>
      </c>
      <c r="K14" s="2">
        <v>4.7</v>
      </c>
      <c r="L14" s="2">
        <f>+L13/L8*100</f>
        <v>6.524598789792161</v>
      </c>
      <c r="M14" s="2">
        <f>+M13/M8*100</f>
        <v>7.822200148994289</v>
      </c>
    </row>
    <row r="15" spans="1:3" ht="12">
      <c r="A15" s="74" t="s">
        <v>10</v>
      </c>
      <c r="B15" s="74"/>
      <c r="C15" s="74"/>
    </row>
    <row r="16" spans="1:5" ht="12">
      <c r="A16" s="74" t="s">
        <v>16</v>
      </c>
      <c r="B16" s="74"/>
      <c r="C16" s="74"/>
      <c r="D16" s="231" t="s">
        <v>209</v>
      </c>
      <c r="E16" s="231" t="s">
        <v>209</v>
      </c>
    </row>
    <row r="17" spans="1:5" ht="12">
      <c r="A17" s="74" t="s">
        <v>16</v>
      </c>
      <c r="D17" s="17" t="s">
        <v>553</v>
      </c>
      <c r="E17" s="17" t="s">
        <v>553</v>
      </c>
    </row>
    <row r="18" spans="1:5" ht="12">
      <c r="A18" s="74" t="s">
        <v>10</v>
      </c>
      <c r="B18" s="17"/>
      <c r="C18" s="17"/>
      <c r="D18" s="17"/>
      <c r="E18" s="17"/>
    </row>
    <row r="19" spans="1:11" s="17" customFormat="1" ht="137.25">
      <c r="A19" s="74" t="s">
        <v>619</v>
      </c>
      <c r="E19" s="63" t="s">
        <v>620</v>
      </c>
      <c r="F19" s="57"/>
      <c r="G19" s="57"/>
      <c r="H19" s="57"/>
      <c r="I19" s="57"/>
      <c r="J19" s="57"/>
      <c r="K19" s="5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&amp;L&amp;D/&amp;F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1">
    <pageSetUpPr fitToPage="1"/>
  </sheetPr>
  <dimension ref="A1:M16"/>
  <sheetViews>
    <sheetView zoomScalePageLayoutView="0" workbookViewId="0" topLeftCell="A1">
      <selection activeCell="A16" sqref="A16:IV16"/>
    </sheetView>
  </sheetViews>
  <sheetFormatPr defaultColWidth="9.140625" defaultRowHeight="12.75"/>
  <cols>
    <col min="1" max="1" width="11.28125" style="69" bestFit="1" customWidth="1"/>
    <col min="2" max="2" width="12.28125" style="0" bestFit="1" customWidth="1"/>
    <col min="3" max="3" width="11.28125" style="0" bestFit="1" customWidth="1"/>
    <col min="4" max="4" width="23.421875" style="0" hidden="1" customWidth="1"/>
    <col min="5" max="5" width="30.7109375" style="0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2.75">
      <c r="A4" s="69" t="s">
        <v>6</v>
      </c>
      <c r="B4" s="33" t="s">
        <v>33</v>
      </c>
      <c r="C4" s="17"/>
      <c r="D4" s="53" t="s">
        <v>578</v>
      </c>
      <c r="E4" s="53" t="s">
        <v>578</v>
      </c>
    </row>
    <row r="5" spans="2:5" ht="12.75">
      <c r="B5" s="33" t="s">
        <v>35</v>
      </c>
      <c r="C5" s="39" t="s">
        <v>139</v>
      </c>
      <c r="D5" s="44"/>
      <c r="E5" s="44"/>
    </row>
    <row r="6" spans="1:13" ht="12.75">
      <c r="A6" s="70" t="s">
        <v>7</v>
      </c>
      <c r="B6" s="42" t="s">
        <v>34</v>
      </c>
      <c r="C6" s="39" t="s">
        <v>139</v>
      </c>
      <c r="D6" s="51" t="s">
        <v>138</v>
      </c>
      <c r="E6" s="51" t="s">
        <v>138</v>
      </c>
      <c r="F6" s="31" t="s">
        <v>189</v>
      </c>
      <c r="G6" s="31" t="s">
        <v>190</v>
      </c>
      <c r="H6" s="31" t="s">
        <v>191</v>
      </c>
      <c r="I6" s="31" t="s">
        <v>192</v>
      </c>
      <c r="J6" s="31" t="s">
        <v>230</v>
      </c>
      <c r="K6" s="31" t="s">
        <v>574</v>
      </c>
      <c r="L6" s="31" t="s">
        <v>575</v>
      </c>
      <c r="M6" s="31" t="s">
        <v>601</v>
      </c>
    </row>
    <row r="7" spans="1:5" s="14" customFormat="1" ht="12.75">
      <c r="A7" s="77" t="s">
        <v>177</v>
      </c>
      <c r="B7" s="77"/>
      <c r="C7" s="77"/>
      <c r="D7" s="14" t="s">
        <v>3</v>
      </c>
      <c r="E7" s="14" t="s">
        <v>3</v>
      </c>
    </row>
    <row r="8" spans="1:13" ht="12">
      <c r="A8" s="74" t="s">
        <v>8</v>
      </c>
      <c r="B8" s="96" t="s">
        <v>11</v>
      </c>
      <c r="C8" s="74"/>
      <c r="D8" s="19" t="s">
        <v>116</v>
      </c>
      <c r="E8" s="19" t="s">
        <v>116</v>
      </c>
      <c r="F8" s="1">
        <v>1917</v>
      </c>
      <c r="G8" s="1">
        <v>2209</v>
      </c>
      <c r="H8" s="1">
        <v>2135</v>
      </c>
      <c r="I8" s="1">
        <v>2405</v>
      </c>
      <c r="J8" s="133">
        <v>2301.9885054</v>
      </c>
      <c r="K8" s="133">
        <v>2455</v>
      </c>
      <c r="L8" s="133">
        <v>2190</v>
      </c>
      <c r="M8" s="133">
        <v>2334</v>
      </c>
    </row>
    <row r="9" spans="1:13" ht="12">
      <c r="A9" s="74" t="s">
        <v>8</v>
      </c>
      <c r="B9" s="96" t="s">
        <v>11</v>
      </c>
      <c r="C9" s="74" t="s">
        <v>168</v>
      </c>
      <c r="D9" s="19" t="s">
        <v>172</v>
      </c>
      <c r="E9" s="19" t="s">
        <v>172</v>
      </c>
      <c r="F9" s="2">
        <v>0.7</v>
      </c>
      <c r="G9" s="2">
        <v>6.7</v>
      </c>
      <c r="H9" s="2">
        <v>1.9</v>
      </c>
      <c r="I9" s="2">
        <v>4.7</v>
      </c>
      <c r="J9" s="134">
        <v>11.8</v>
      </c>
      <c r="K9" s="134">
        <v>3.7</v>
      </c>
      <c r="L9" s="134">
        <v>-7.1</v>
      </c>
      <c r="M9" s="134">
        <v>-7.9</v>
      </c>
    </row>
    <row r="10" spans="1:13" ht="12">
      <c r="A10" s="74" t="s">
        <v>8</v>
      </c>
      <c r="B10" s="96" t="s">
        <v>11</v>
      </c>
      <c r="C10" s="74" t="s">
        <v>168</v>
      </c>
      <c r="D10" s="19" t="s">
        <v>559</v>
      </c>
      <c r="E10" s="19" t="s">
        <v>559</v>
      </c>
      <c r="F10" s="2">
        <v>7.8</v>
      </c>
      <c r="G10" s="2">
        <v>0</v>
      </c>
      <c r="H10" s="2">
        <v>4.8</v>
      </c>
      <c r="I10" s="2">
        <v>6.2</v>
      </c>
      <c r="J10" s="134">
        <v>3.8</v>
      </c>
      <c r="K10" s="134">
        <v>5</v>
      </c>
      <c r="L10" s="134">
        <v>5.2</v>
      </c>
      <c r="M10" s="134">
        <v>2.1</v>
      </c>
    </row>
    <row r="11" spans="1:13" ht="12">
      <c r="A11" s="74" t="s">
        <v>8</v>
      </c>
      <c r="B11" s="96" t="s">
        <v>11</v>
      </c>
      <c r="C11" s="74"/>
      <c r="D11" s="19" t="s">
        <v>118</v>
      </c>
      <c r="E11" s="19" t="s">
        <v>118</v>
      </c>
      <c r="F11" s="1">
        <v>237</v>
      </c>
      <c r="G11" s="1">
        <v>324</v>
      </c>
      <c r="H11" s="1">
        <v>280</v>
      </c>
      <c r="I11" s="1">
        <v>294</v>
      </c>
      <c r="J11" s="133">
        <v>300.90389930000094</v>
      </c>
      <c r="K11" s="133">
        <v>401</v>
      </c>
      <c r="L11" s="133">
        <v>125</v>
      </c>
      <c r="M11" s="133">
        <v>164</v>
      </c>
    </row>
    <row r="12" spans="1:13" ht="12">
      <c r="A12" s="74" t="s">
        <v>8</v>
      </c>
      <c r="B12" s="96" t="s">
        <v>11</v>
      </c>
      <c r="C12" s="74" t="s">
        <v>168</v>
      </c>
      <c r="D12" s="19" t="s">
        <v>169</v>
      </c>
      <c r="E12" s="19" t="s">
        <v>169</v>
      </c>
      <c r="F12" s="2">
        <v>12.4</v>
      </c>
      <c r="G12" s="2">
        <v>14.7</v>
      </c>
      <c r="H12" s="2">
        <v>13.1</v>
      </c>
      <c r="I12" s="2">
        <v>12.2</v>
      </c>
      <c r="J12" s="134">
        <v>13.071477055343221</v>
      </c>
      <c r="K12" s="134">
        <v>16.3</v>
      </c>
      <c r="L12" s="134">
        <f>+L11/L8*100</f>
        <v>5.707762557077626</v>
      </c>
      <c r="M12" s="134">
        <f>+M11/M8*100</f>
        <v>7.02656383890317</v>
      </c>
    </row>
    <row r="13" spans="1:13" ht="14.25">
      <c r="A13" s="74" t="s">
        <v>8</v>
      </c>
      <c r="B13" s="96" t="s">
        <v>11</v>
      </c>
      <c r="C13" s="74"/>
      <c r="D13" s="19" t="s">
        <v>222</v>
      </c>
      <c r="E13" s="19" t="s">
        <v>222</v>
      </c>
      <c r="F13" s="1">
        <v>237</v>
      </c>
      <c r="G13" s="1">
        <v>324</v>
      </c>
      <c r="H13" s="1">
        <v>280</v>
      </c>
      <c r="I13" s="1">
        <v>294</v>
      </c>
      <c r="J13" s="133">
        <v>300.90389930000094</v>
      </c>
      <c r="K13" s="133">
        <v>401</v>
      </c>
      <c r="L13" s="133">
        <v>247</v>
      </c>
      <c r="M13" s="133">
        <v>164</v>
      </c>
    </row>
    <row r="14" spans="1:13" ht="14.25">
      <c r="A14" s="74" t="s">
        <v>8</v>
      </c>
      <c r="B14" s="235" t="s">
        <v>237</v>
      </c>
      <c r="C14" s="74" t="s">
        <v>168</v>
      </c>
      <c r="D14" s="97" t="s">
        <v>223</v>
      </c>
      <c r="E14" s="97" t="s">
        <v>223</v>
      </c>
      <c r="F14" s="2">
        <v>12.4</v>
      </c>
      <c r="G14" s="2">
        <v>14.7</v>
      </c>
      <c r="H14" s="2">
        <v>13.1</v>
      </c>
      <c r="I14" s="2">
        <v>12.2</v>
      </c>
      <c r="J14" s="134">
        <v>13.071477055343221</v>
      </c>
      <c r="K14" s="134">
        <v>16.3</v>
      </c>
      <c r="L14" s="134">
        <f>+L13/L8*100</f>
        <v>11.278538812785389</v>
      </c>
      <c r="M14" s="134">
        <f>+M13/M8*100</f>
        <v>7.02656383890317</v>
      </c>
    </row>
    <row r="15" spans="1:5" ht="12">
      <c r="A15" s="74" t="s">
        <v>10</v>
      </c>
      <c r="B15" s="17"/>
      <c r="C15" s="17"/>
      <c r="D15" s="17"/>
      <c r="E15" s="17"/>
    </row>
    <row r="16" spans="1:11" s="17" customFormat="1" ht="162">
      <c r="A16" s="74" t="s">
        <v>619</v>
      </c>
      <c r="E16" s="63" t="s">
        <v>620</v>
      </c>
      <c r="F16" s="57"/>
      <c r="G16" s="57"/>
      <c r="H16" s="57"/>
      <c r="I16" s="57"/>
      <c r="J16" s="57"/>
      <c r="K16" s="5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&amp;L&amp;D/&amp;F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2">
    <pageSetUpPr fitToPage="1"/>
  </sheetPr>
  <dimension ref="A1:Q29"/>
  <sheetViews>
    <sheetView zoomScaleSheetLayoutView="100" zoomScalePageLayoutView="0" workbookViewId="0" topLeftCell="A10">
      <selection activeCell="A25" sqref="A25:IV25"/>
    </sheetView>
  </sheetViews>
  <sheetFormatPr defaultColWidth="9.28125" defaultRowHeight="12.75"/>
  <cols>
    <col min="1" max="1" width="11.28125" style="69" bestFit="1" customWidth="1"/>
    <col min="2" max="2" width="12.28125" style="17" bestFit="1" customWidth="1"/>
    <col min="3" max="3" width="11.28125" style="17" bestFit="1" customWidth="1"/>
    <col min="4" max="4" width="23.421875" style="17" hidden="1" customWidth="1"/>
    <col min="5" max="5" width="54.00390625" style="17" customWidth="1"/>
    <col min="6" max="17" width="8.00390625" style="17" bestFit="1" customWidth="1"/>
    <col min="18" max="16384" width="9.28125" style="17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2.75">
      <c r="A4" s="74" t="s">
        <v>6</v>
      </c>
      <c r="B4" s="33" t="s">
        <v>33</v>
      </c>
      <c r="D4" s="25" t="s">
        <v>22</v>
      </c>
      <c r="E4" s="25" t="s">
        <v>22</v>
      </c>
    </row>
    <row r="5" spans="2:5" ht="12.75">
      <c r="B5" s="33" t="s">
        <v>35</v>
      </c>
      <c r="C5" s="34" t="s">
        <v>139</v>
      </c>
      <c r="D5" s="15"/>
      <c r="E5" s="15"/>
    </row>
    <row r="6" spans="1:17" s="45" customFormat="1" ht="12.75">
      <c r="A6" s="75" t="s">
        <v>7</v>
      </c>
      <c r="B6" s="42" t="s">
        <v>34</v>
      </c>
      <c r="C6" s="39" t="s">
        <v>139</v>
      </c>
      <c r="D6" s="54" t="s">
        <v>224</v>
      </c>
      <c r="E6" s="54" t="s">
        <v>224</v>
      </c>
      <c r="F6" s="31" t="s">
        <v>185</v>
      </c>
      <c r="G6" s="31" t="s">
        <v>186</v>
      </c>
      <c r="H6" s="31" t="s">
        <v>187</v>
      </c>
      <c r="I6" s="31" t="s">
        <v>188</v>
      </c>
      <c r="J6" s="31" t="s">
        <v>189</v>
      </c>
      <c r="K6" s="31" t="s">
        <v>190</v>
      </c>
      <c r="L6" s="31" t="s">
        <v>191</v>
      </c>
      <c r="M6" s="31" t="s">
        <v>192</v>
      </c>
      <c r="N6" s="31" t="s">
        <v>230</v>
      </c>
      <c r="O6" s="31" t="s">
        <v>574</v>
      </c>
      <c r="P6" s="31" t="s">
        <v>575</v>
      </c>
      <c r="Q6" s="31" t="s">
        <v>601</v>
      </c>
    </row>
    <row r="7" spans="1:17" s="14" customFormat="1" ht="12.75">
      <c r="A7" s="77" t="s">
        <v>177</v>
      </c>
      <c r="B7" s="90"/>
      <c r="C7" s="91"/>
      <c r="D7" s="92" t="s">
        <v>203</v>
      </c>
      <c r="E7" s="92" t="s">
        <v>203</v>
      </c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</row>
    <row r="8" spans="1:17" s="14" customFormat="1" ht="12.75">
      <c r="A8" s="74" t="s">
        <v>8</v>
      </c>
      <c r="B8" s="239" t="s">
        <v>11</v>
      </c>
      <c r="C8" s="74" t="s">
        <v>168</v>
      </c>
      <c r="D8" s="97" t="s">
        <v>25</v>
      </c>
      <c r="E8" s="97" t="s">
        <v>25</v>
      </c>
      <c r="F8" s="126">
        <v>-3.2</v>
      </c>
      <c r="G8" s="126">
        <v>1.2</v>
      </c>
      <c r="H8" s="126">
        <v>-1.7</v>
      </c>
      <c r="I8" s="126">
        <v>5.4</v>
      </c>
      <c r="J8" s="126">
        <v>3</v>
      </c>
      <c r="K8" s="126">
        <v>0.3</v>
      </c>
      <c r="L8" s="126">
        <v>0.3</v>
      </c>
      <c r="M8" s="126">
        <v>1.9</v>
      </c>
      <c r="N8" s="126">
        <v>0.6</v>
      </c>
      <c r="O8" s="126">
        <v>-3.6</v>
      </c>
      <c r="P8" s="126">
        <v>1.2</v>
      </c>
      <c r="Q8" s="126">
        <v>-2.8</v>
      </c>
    </row>
    <row r="9" spans="1:17" s="14" customFormat="1" ht="12.75">
      <c r="A9" s="74" t="s">
        <v>8</v>
      </c>
      <c r="B9" s="239" t="s">
        <v>11</v>
      </c>
      <c r="C9" s="74" t="s">
        <v>168</v>
      </c>
      <c r="D9" s="97" t="s">
        <v>172</v>
      </c>
      <c r="E9" s="97" t="s">
        <v>172</v>
      </c>
      <c r="F9" s="126">
        <v>-2.8</v>
      </c>
      <c r="G9" s="126">
        <v>0</v>
      </c>
      <c r="H9" s="126">
        <v>-3.2</v>
      </c>
      <c r="I9" s="126">
        <v>4</v>
      </c>
      <c r="J9" s="126">
        <v>1.9</v>
      </c>
      <c r="K9" s="126">
        <v>-0.1</v>
      </c>
      <c r="L9" s="126">
        <v>0.8</v>
      </c>
      <c r="M9" s="126">
        <v>2.6</v>
      </c>
      <c r="N9" s="126">
        <v>1.2</v>
      </c>
      <c r="O9" s="126">
        <v>-3.1</v>
      </c>
      <c r="P9" s="126">
        <v>1.4</v>
      </c>
      <c r="Q9" s="126">
        <v>-2.8</v>
      </c>
    </row>
    <row r="10" spans="1:17" s="14" customFormat="1" ht="12.75">
      <c r="A10" s="74" t="s">
        <v>8</v>
      </c>
      <c r="B10" s="239" t="s">
        <v>11</v>
      </c>
      <c r="C10" s="74" t="s">
        <v>168</v>
      </c>
      <c r="D10" s="97" t="s">
        <v>169</v>
      </c>
      <c r="E10" s="97" t="s">
        <v>169</v>
      </c>
      <c r="F10" s="126">
        <v>5.1</v>
      </c>
      <c r="G10" s="126">
        <v>6.2</v>
      </c>
      <c r="H10" s="126">
        <v>6.8</v>
      </c>
      <c r="I10" s="126">
        <v>6.3</v>
      </c>
      <c r="J10" s="126">
        <v>2</v>
      </c>
      <c r="K10" s="126">
        <v>1.7</v>
      </c>
      <c r="L10" s="126">
        <v>5.2</v>
      </c>
      <c r="M10" s="126">
        <v>5.2</v>
      </c>
      <c r="N10" s="126">
        <v>-0.2</v>
      </c>
      <c r="O10" s="126">
        <v>4.2</v>
      </c>
      <c r="P10" s="126">
        <v>3.5</v>
      </c>
      <c r="Q10" s="126">
        <v>3</v>
      </c>
    </row>
    <row r="11" spans="1:17" s="14" customFormat="1" ht="15">
      <c r="A11" s="74" t="s">
        <v>8</v>
      </c>
      <c r="B11" s="240" t="s">
        <v>237</v>
      </c>
      <c r="C11" s="74" t="s">
        <v>168</v>
      </c>
      <c r="D11" s="97" t="s">
        <v>223</v>
      </c>
      <c r="E11" s="97" t="s">
        <v>223</v>
      </c>
      <c r="F11" s="126">
        <v>5.1</v>
      </c>
      <c r="G11" s="126">
        <v>6.2</v>
      </c>
      <c r="H11" s="126">
        <v>6.8</v>
      </c>
      <c r="I11" s="126">
        <v>6.3</v>
      </c>
      <c r="J11" s="126">
        <v>4.3</v>
      </c>
      <c r="K11" s="126">
        <v>4.5</v>
      </c>
      <c r="L11" s="126">
        <v>5.2</v>
      </c>
      <c r="M11" s="126">
        <v>5</v>
      </c>
      <c r="N11" s="126">
        <v>3.7</v>
      </c>
      <c r="O11" s="126">
        <v>4.2</v>
      </c>
      <c r="P11" s="126">
        <v>4.5</v>
      </c>
      <c r="Q11" s="126">
        <v>3</v>
      </c>
    </row>
    <row r="12" spans="1:17" s="14" customFormat="1" ht="15">
      <c r="A12" s="74" t="s">
        <v>8</v>
      </c>
      <c r="B12" s="239" t="s">
        <v>11</v>
      </c>
      <c r="C12" s="74" t="s">
        <v>180</v>
      </c>
      <c r="D12" s="19" t="s">
        <v>590</v>
      </c>
      <c r="E12" s="19" t="s">
        <v>590</v>
      </c>
      <c r="F12" s="125">
        <v>0.32</v>
      </c>
      <c r="G12" s="125">
        <v>0.16</v>
      </c>
      <c r="H12" s="125">
        <v>0.05</v>
      </c>
      <c r="I12" s="125">
        <v>0.01</v>
      </c>
      <c r="J12" s="125">
        <v>0.16</v>
      </c>
      <c r="K12" s="125">
        <v>0.14</v>
      </c>
      <c r="L12" s="125">
        <v>0.08</v>
      </c>
      <c r="M12" s="125">
        <v>0.08</v>
      </c>
      <c r="N12" s="125">
        <v>0.37</v>
      </c>
      <c r="O12" s="125">
        <v>0.52</v>
      </c>
      <c r="P12" s="125">
        <v>0.48</v>
      </c>
      <c r="Q12" s="125">
        <v>0.34</v>
      </c>
    </row>
    <row r="13" spans="1:17" s="14" customFormat="1" ht="15">
      <c r="A13" s="74" t="s">
        <v>8</v>
      </c>
      <c r="B13" s="239" t="s">
        <v>11</v>
      </c>
      <c r="C13" s="74" t="s">
        <v>168</v>
      </c>
      <c r="D13" s="19" t="s">
        <v>579</v>
      </c>
      <c r="E13" s="19" t="s">
        <v>579</v>
      </c>
      <c r="F13" s="128">
        <v>20.3</v>
      </c>
      <c r="G13" s="128">
        <v>18.3</v>
      </c>
      <c r="H13" s="128">
        <v>17.7</v>
      </c>
      <c r="I13" s="128">
        <v>17.5</v>
      </c>
      <c r="J13" s="128">
        <v>18.85414260834022</v>
      </c>
      <c r="K13" s="128">
        <v>17.553128664964138</v>
      </c>
      <c r="L13" s="128">
        <v>17.745117295333078</v>
      </c>
      <c r="M13" s="128">
        <v>17.545921243907674</v>
      </c>
      <c r="N13" s="128">
        <v>23.25366747033202</v>
      </c>
      <c r="O13" s="128">
        <v>24.864935615925184</v>
      </c>
      <c r="P13" s="128">
        <v>23.536656462758184</v>
      </c>
      <c r="Q13" s="128">
        <v>22.270441375437162</v>
      </c>
    </row>
    <row r="14" spans="1:17" s="14" customFormat="1" ht="15">
      <c r="A14" s="74" t="s">
        <v>8</v>
      </c>
      <c r="B14" s="239" t="s">
        <v>11</v>
      </c>
      <c r="C14" s="74" t="s">
        <v>168</v>
      </c>
      <c r="D14" s="19" t="s">
        <v>580</v>
      </c>
      <c r="E14" s="19" t="s">
        <v>580</v>
      </c>
      <c r="F14" s="128">
        <v>14.2</v>
      </c>
      <c r="G14" s="128">
        <v>13.3</v>
      </c>
      <c r="H14" s="128">
        <v>14.4</v>
      </c>
      <c r="I14" s="128">
        <v>12.4</v>
      </c>
      <c r="J14" s="128">
        <v>13.038976829037324</v>
      </c>
      <c r="K14" s="128">
        <v>13.585621781541219</v>
      </c>
      <c r="L14" s="128">
        <v>14.644254648459503</v>
      </c>
      <c r="M14" s="128">
        <v>13.350610328034875</v>
      </c>
      <c r="N14" s="128">
        <v>14.820812044529752</v>
      </c>
      <c r="O14" s="128">
        <v>14.945126845747364</v>
      </c>
      <c r="P14" s="128">
        <v>15.2155263401237</v>
      </c>
      <c r="Q14" s="128">
        <v>13.779899420519234</v>
      </c>
    </row>
    <row r="15" spans="1:17" s="14" customFormat="1" ht="15">
      <c r="A15" s="74" t="s">
        <v>8</v>
      </c>
      <c r="B15" s="239" t="s">
        <v>11</v>
      </c>
      <c r="C15" s="74" t="s">
        <v>168</v>
      </c>
      <c r="D15" s="19" t="s">
        <v>581</v>
      </c>
      <c r="E15" s="19" t="s">
        <v>581</v>
      </c>
      <c r="F15" s="128">
        <v>16.6</v>
      </c>
      <c r="G15" s="128">
        <v>16.1</v>
      </c>
      <c r="H15" s="128">
        <v>16.6</v>
      </c>
      <c r="I15" s="128">
        <v>17.5</v>
      </c>
      <c r="J15" s="128">
        <v>15.431645095636219</v>
      </c>
      <c r="K15" s="128">
        <v>15.276973586724734</v>
      </c>
      <c r="L15" s="128">
        <v>15.449341184199048</v>
      </c>
      <c r="M15" s="128">
        <v>17.129094910288018</v>
      </c>
      <c r="N15" s="128">
        <v>16.552736559089958</v>
      </c>
      <c r="O15" s="128">
        <v>17.09926687975312</v>
      </c>
      <c r="P15" s="128">
        <v>15.812819424256935</v>
      </c>
      <c r="Q15" s="128">
        <v>17.73925918362137</v>
      </c>
    </row>
    <row r="16" spans="1:17" s="14" customFormat="1" ht="15">
      <c r="A16" s="74" t="s">
        <v>8</v>
      </c>
      <c r="B16" s="239" t="s">
        <v>11</v>
      </c>
      <c r="C16" s="74"/>
      <c r="D16" s="19" t="s">
        <v>582</v>
      </c>
      <c r="E16" s="19" t="s">
        <v>582</v>
      </c>
      <c r="F16" s="128">
        <v>5.5</v>
      </c>
      <c r="G16" s="128">
        <v>5.7</v>
      </c>
      <c r="H16" s="128">
        <v>5.7</v>
      </c>
      <c r="I16" s="128">
        <v>5.9</v>
      </c>
      <c r="J16" s="128">
        <v>5</v>
      </c>
      <c r="K16" s="128">
        <v>5.3</v>
      </c>
      <c r="L16" s="128">
        <v>5.3</v>
      </c>
      <c r="M16" s="128">
        <v>5.6</v>
      </c>
      <c r="N16" s="128">
        <v>4.6</v>
      </c>
      <c r="O16" s="128">
        <v>4.4</v>
      </c>
      <c r="P16" s="128">
        <v>4.9</v>
      </c>
      <c r="Q16" s="128">
        <v>4.5</v>
      </c>
    </row>
    <row r="17" spans="1:17" s="14" customFormat="1" ht="15">
      <c r="A17" s="74" t="s">
        <v>8</v>
      </c>
      <c r="B17" s="239" t="s">
        <v>11</v>
      </c>
      <c r="C17" s="74" t="s">
        <v>168</v>
      </c>
      <c r="D17" s="19" t="s">
        <v>583</v>
      </c>
      <c r="E17" s="19" t="s">
        <v>583</v>
      </c>
      <c r="F17" s="128">
        <v>28.1</v>
      </c>
      <c r="G17" s="128">
        <v>32.5</v>
      </c>
      <c r="H17" s="128">
        <v>34.7</v>
      </c>
      <c r="I17" s="128">
        <v>36</v>
      </c>
      <c r="J17" s="128">
        <v>10.2</v>
      </c>
      <c r="K17" s="128">
        <v>9.9</v>
      </c>
      <c r="L17" s="128">
        <v>16</v>
      </c>
      <c r="M17" s="128">
        <v>20.2</v>
      </c>
      <c r="N17" s="128">
        <v>-0.9</v>
      </c>
      <c r="O17" s="128">
        <v>9</v>
      </c>
      <c r="P17" s="128">
        <v>12.6</v>
      </c>
      <c r="Q17" s="128">
        <v>12</v>
      </c>
    </row>
    <row r="18" spans="1:17" ht="14.25">
      <c r="A18" s="74" t="s">
        <v>8</v>
      </c>
      <c r="B18" s="239" t="s">
        <v>11</v>
      </c>
      <c r="C18" s="74" t="s">
        <v>168</v>
      </c>
      <c r="D18" s="19" t="s">
        <v>589</v>
      </c>
      <c r="E18" s="19" t="s">
        <v>589</v>
      </c>
      <c r="F18" s="128">
        <v>23.6</v>
      </c>
      <c r="G18" s="128">
        <v>26.9</v>
      </c>
      <c r="H18" s="128">
        <v>28.7</v>
      </c>
      <c r="I18" s="128">
        <v>31.9</v>
      </c>
      <c r="J18" s="128">
        <v>10.4</v>
      </c>
      <c r="K18" s="128">
        <v>10.3</v>
      </c>
      <c r="L18" s="128">
        <v>14.3</v>
      </c>
      <c r="M18" s="128">
        <v>18.2</v>
      </c>
      <c r="N18" s="128">
        <v>1.4</v>
      </c>
      <c r="O18" s="128">
        <v>11.1</v>
      </c>
      <c r="P18" s="128">
        <v>13.4</v>
      </c>
      <c r="Q18" s="128">
        <v>11.4</v>
      </c>
    </row>
    <row r="19" spans="1:3" ht="12">
      <c r="A19" s="74" t="s">
        <v>10</v>
      </c>
      <c r="B19" s="74"/>
      <c r="C19" s="74"/>
    </row>
    <row r="20" spans="1:5" ht="12">
      <c r="A20" s="74" t="s">
        <v>16</v>
      </c>
      <c r="B20" s="74"/>
      <c r="C20" s="74"/>
      <c r="D20" s="231" t="s">
        <v>209</v>
      </c>
      <c r="E20" s="231" t="s">
        <v>209</v>
      </c>
    </row>
    <row r="21" spans="1:5" ht="12">
      <c r="A21" s="74" t="s">
        <v>16</v>
      </c>
      <c r="B21" s="74"/>
      <c r="C21" s="74"/>
      <c r="D21" s="17" t="s">
        <v>588</v>
      </c>
      <c r="E21" s="17" t="s">
        <v>588</v>
      </c>
    </row>
    <row r="22" spans="1:5" ht="12">
      <c r="A22" s="74" t="s">
        <v>16</v>
      </c>
      <c r="D22" s="17" t="s">
        <v>208</v>
      </c>
      <c r="E22" s="17" t="s">
        <v>208</v>
      </c>
    </row>
    <row r="23" spans="1:5" ht="12">
      <c r="A23" s="74" t="s">
        <v>16</v>
      </c>
      <c r="B23" s="69"/>
      <c r="C23" s="69"/>
      <c r="D23" s="17" t="s">
        <v>584</v>
      </c>
      <c r="E23" s="17" t="s">
        <v>584</v>
      </c>
    </row>
    <row r="24" spans="1:5" s="132" customFormat="1" ht="12">
      <c r="A24" s="74" t="s">
        <v>10</v>
      </c>
      <c r="B24" s="17"/>
      <c r="C24" s="17"/>
      <c r="D24" s="17"/>
      <c r="E24" s="17"/>
    </row>
    <row r="25" spans="1:11" ht="112.5">
      <c r="A25" s="74" t="s">
        <v>619</v>
      </c>
      <c r="E25" s="63" t="s">
        <v>620</v>
      </c>
      <c r="F25" s="57"/>
      <c r="G25" s="57"/>
      <c r="H25" s="57"/>
      <c r="I25" s="57"/>
      <c r="J25" s="57"/>
      <c r="K25" s="57"/>
    </row>
    <row r="26" s="132" customFormat="1" ht="12">
      <c r="A26" s="248"/>
    </row>
    <row r="27" s="132" customFormat="1" ht="12">
      <c r="A27" s="248"/>
    </row>
    <row r="28" s="132" customFormat="1" ht="12">
      <c r="A28" s="248"/>
    </row>
    <row r="29" s="132" customFormat="1" ht="12">
      <c r="A29" s="248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1"/>
  <headerFooter alignWithMargins="0">
    <oddHeader>&amp;L&amp;D/&amp;F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K23"/>
  <sheetViews>
    <sheetView zoomScale="90" zoomScaleNormal="90" zoomScaleSheetLayoutView="100" zoomScalePageLayoutView="0" workbookViewId="0" topLeftCell="A1">
      <selection activeCell="A23" sqref="A23:IV23"/>
    </sheetView>
  </sheetViews>
  <sheetFormatPr defaultColWidth="9.28125" defaultRowHeight="12.75"/>
  <cols>
    <col min="1" max="1" width="11.28125" style="69" bestFit="1" customWidth="1"/>
    <col min="2" max="2" width="12.28125" style="17" bestFit="1" customWidth="1"/>
    <col min="3" max="3" width="11.28125" style="17" bestFit="1" customWidth="1"/>
    <col min="4" max="4" width="23.421875" style="17" hidden="1" customWidth="1"/>
    <col min="5" max="5" width="54.00390625" style="17" customWidth="1"/>
    <col min="6" max="11" width="8.28125" style="17" bestFit="1" customWidth="1"/>
    <col min="12" max="16384" width="9.28125" style="17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2.75">
      <c r="A4" s="74" t="s">
        <v>6</v>
      </c>
      <c r="B4" s="33" t="s">
        <v>33</v>
      </c>
      <c r="D4" s="16" t="s">
        <v>115</v>
      </c>
      <c r="E4" s="16" t="s">
        <v>115</v>
      </c>
    </row>
    <row r="5" spans="2:5" ht="12.75">
      <c r="B5" s="33" t="s">
        <v>35</v>
      </c>
      <c r="C5" s="34" t="s">
        <v>139</v>
      </c>
      <c r="D5" s="15"/>
      <c r="E5" s="15"/>
    </row>
    <row r="6" spans="1:11" s="45" customFormat="1" ht="15">
      <c r="A6" s="75" t="s">
        <v>7</v>
      </c>
      <c r="B6" s="42" t="s">
        <v>34</v>
      </c>
      <c r="C6" s="39" t="s">
        <v>139</v>
      </c>
      <c r="D6" s="54" t="s">
        <v>178</v>
      </c>
      <c r="E6" s="54" t="s">
        <v>178</v>
      </c>
      <c r="F6" s="45">
        <v>2014</v>
      </c>
      <c r="G6" s="45">
        <v>2015</v>
      </c>
      <c r="H6" s="45">
        <v>2016</v>
      </c>
      <c r="I6" s="45" t="s">
        <v>197</v>
      </c>
      <c r="J6" s="45">
        <v>2018</v>
      </c>
      <c r="K6" s="45">
        <v>2019</v>
      </c>
    </row>
    <row r="7" spans="1:5" s="14" customFormat="1" ht="12.75">
      <c r="A7" s="77" t="s">
        <v>177</v>
      </c>
      <c r="B7" s="90"/>
      <c r="C7" s="91"/>
      <c r="D7" s="92" t="s">
        <v>163</v>
      </c>
      <c r="E7" s="92" t="s">
        <v>163</v>
      </c>
    </row>
    <row r="8" spans="1:11" ht="12">
      <c r="A8" s="74" t="s">
        <v>8</v>
      </c>
      <c r="B8" s="95" t="s">
        <v>11</v>
      </c>
      <c r="C8" s="74"/>
      <c r="D8" s="19" t="s">
        <v>116</v>
      </c>
      <c r="E8" s="19" t="s">
        <v>116</v>
      </c>
      <c r="F8" s="8">
        <v>112143</v>
      </c>
      <c r="G8" s="8">
        <v>123511</v>
      </c>
      <c r="H8" s="8">
        <v>121093</v>
      </c>
      <c r="I8" s="8">
        <v>120771</v>
      </c>
      <c r="J8" s="8">
        <v>115463</v>
      </c>
      <c r="K8" s="8">
        <v>118981</v>
      </c>
    </row>
    <row r="9" spans="1:11" ht="12">
      <c r="A9" s="74" t="s">
        <v>8</v>
      </c>
      <c r="B9" s="95" t="s">
        <v>11</v>
      </c>
      <c r="C9" s="74" t="s">
        <v>168</v>
      </c>
      <c r="D9" s="231" t="s">
        <v>193</v>
      </c>
      <c r="E9" s="231" t="s">
        <v>193</v>
      </c>
      <c r="F9" s="11">
        <v>1.1</v>
      </c>
      <c r="G9" s="11">
        <v>2.5</v>
      </c>
      <c r="H9" s="11">
        <v>-1</v>
      </c>
      <c r="I9" s="11">
        <v>0.5</v>
      </c>
      <c r="J9" s="11">
        <v>1.2</v>
      </c>
      <c r="K9" s="11">
        <v>-1.3</v>
      </c>
    </row>
    <row r="10" spans="1:11" ht="12">
      <c r="A10" s="74" t="s">
        <v>8</v>
      </c>
      <c r="B10" s="95" t="s">
        <v>11</v>
      </c>
      <c r="C10" s="74" t="s">
        <v>168</v>
      </c>
      <c r="D10" s="19" t="s">
        <v>182</v>
      </c>
      <c r="E10" s="19" t="s">
        <v>182</v>
      </c>
      <c r="F10" s="127">
        <v>1.1</v>
      </c>
      <c r="G10" s="127">
        <v>2.2</v>
      </c>
      <c r="H10" s="127">
        <v>1.1</v>
      </c>
      <c r="I10" s="127">
        <v>-0.4</v>
      </c>
      <c r="J10" s="127">
        <v>1.2</v>
      </c>
      <c r="K10" s="127">
        <v>-1</v>
      </c>
    </row>
    <row r="11" spans="1:11" ht="12">
      <c r="A11" s="74" t="s">
        <v>8</v>
      </c>
      <c r="B11" s="74"/>
      <c r="C11" s="74"/>
      <c r="D11" s="19" t="s">
        <v>117</v>
      </c>
      <c r="E11" s="19" t="s">
        <v>117</v>
      </c>
      <c r="F11" s="8">
        <v>3671</v>
      </c>
      <c r="G11" s="8">
        <v>3936</v>
      </c>
      <c r="H11" s="8">
        <v>3934</v>
      </c>
      <c r="I11" s="8">
        <v>3977</v>
      </c>
      <c r="J11" s="8">
        <v>3981</v>
      </c>
      <c r="K11" s="8">
        <v>4821</v>
      </c>
    </row>
    <row r="12" spans="1:11" ht="12">
      <c r="A12" s="74" t="s">
        <v>8</v>
      </c>
      <c r="B12" s="74"/>
      <c r="C12" s="74"/>
      <c r="D12" s="231" t="s">
        <v>195</v>
      </c>
      <c r="E12" s="231" t="s">
        <v>195</v>
      </c>
      <c r="F12" s="8">
        <f>3581--1348</f>
        <v>4929</v>
      </c>
      <c r="G12" s="8">
        <f>2741--2249</f>
        <v>4990</v>
      </c>
      <c r="H12" s="8">
        <v>6274</v>
      </c>
      <c r="I12" s="8">
        <v>7407</v>
      </c>
      <c r="J12" s="8">
        <v>5519</v>
      </c>
      <c r="K12" s="8">
        <v>4533</v>
      </c>
    </row>
    <row r="13" spans="1:11" ht="12">
      <c r="A13" s="74" t="s">
        <v>8</v>
      </c>
      <c r="B13" s="235" t="s">
        <v>237</v>
      </c>
      <c r="C13" s="74" t="s">
        <v>168</v>
      </c>
      <c r="D13" s="231" t="s">
        <v>196</v>
      </c>
      <c r="E13" s="231" t="s">
        <v>196</v>
      </c>
      <c r="F13" s="11">
        <f>F12/F8*100</f>
        <v>4.395281025119713</v>
      </c>
      <c r="G13" s="11">
        <f>G12/G8*100</f>
        <v>4.040125980681883</v>
      </c>
      <c r="H13" s="11">
        <f>H12/H8*100</f>
        <v>5.18114176707159</v>
      </c>
      <c r="I13" s="11">
        <f>I12/I8*100</f>
        <v>6.133094865489232</v>
      </c>
      <c r="J13" s="11">
        <v>4.779886197309961</v>
      </c>
      <c r="K13" s="11">
        <v>3.809851993175381</v>
      </c>
    </row>
    <row r="14" spans="1:11" ht="14.25">
      <c r="A14" s="74" t="s">
        <v>8</v>
      </c>
      <c r="B14" s="74"/>
      <c r="C14" s="74"/>
      <c r="D14" s="19" t="s">
        <v>194</v>
      </c>
      <c r="E14" s="19" t="s">
        <v>194</v>
      </c>
      <c r="F14" s="66">
        <v>-1348</v>
      </c>
      <c r="G14" s="66">
        <v>-2249</v>
      </c>
      <c r="H14" s="66">
        <v>0</v>
      </c>
      <c r="I14" s="66">
        <v>0</v>
      </c>
      <c r="J14" s="66">
        <v>-1343</v>
      </c>
      <c r="K14" s="66">
        <v>-1344</v>
      </c>
    </row>
    <row r="15" spans="1:11" ht="12">
      <c r="A15" s="74" t="s">
        <v>8</v>
      </c>
      <c r="B15" s="74"/>
      <c r="C15" s="74"/>
      <c r="D15" s="19" t="s">
        <v>118</v>
      </c>
      <c r="E15" s="19" t="s">
        <v>118</v>
      </c>
      <c r="F15" s="8">
        <v>3581</v>
      </c>
      <c r="G15" s="8">
        <v>2741</v>
      </c>
      <c r="H15" s="8">
        <v>6274</v>
      </c>
      <c r="I15" s="8">
        <v>7407</v>
      </c>
      <c r="J15" s="8">
        <v>4176</v>
      </c>
      <c r="K15" s="8">
        <v>3189</v>
      </c>
    </row>
    <row r="16" spans="1:11" ht="12">
      <c r="A16" s="74" t="s">
        <v>8</v>
      </c>
      <c r="B16" s="95" t="s">
        <v>11</v>
      </c>
      <c r="C16" s="74" t="s">
        <v>168</v>
      </c>
      <c r="D16" s="19" t="s">
        <v>183</v>
      </c>
      <c r="E16" s="19" t="s">
        <v>183</v>
      </c>
      <c r="F16" s="22">
        <v>3.2</v>
      </c>
      <c r="G16" s="22">
        <v>2.2192355336771623</v>
      </c>
      <c r="H16" s="22">
        <v>5.18114176707159</v>
      </c>
      <c r="I16" s="22">
        <v>6.1</v>
      </c>
      <c r="J16" s="22">
        <v>3.6</v>
      </c>
      <c r="K16" s="22">
        <v>2.6802598734251686</v>
      </c>
    </row>
    <row r="17" spans="1:11" ht="12">
      <c r="A17" s="74" t="s">
        <v>8</v>
      </c>
      <c r="B17" s="74"/>
      <c r="C17" s="74"/>
      <c r="D17" s="19" t="s">
        <v>119</v>
      </c>
      <c r="E17" s="19" t="s">
        <v>119</v>
      </c>
      <c r="F17" s="8">
        <v>2997</v>
      </c>
      <c r="G17" s="8">
        <v>2101</v>
      </c>
      <c r="H17" s="8">
        <v>5581</v>
      </c>
      <c r="I17" s="8">
        <v>6966</v>
      </c>
      <c r="J17" s="8">
        <v>3754</v>
      </c>
      <c r="K17" s="8">
        <v>2456</v>
      </c>
    </row>
    <row r="18" spans="1:11" ht="12">
      <c r="A18" s="74" t="s">
        <v>8</v>
      </c>
      <c r="B18" s="74"/>
      <c r="C18" s="74"/>
      <c r="D18" s="19" t="s">
        <v>0</v>
      </c>
      <c r="E18" s="19" t="s">
        <v>0</v>
      </c>
      <c r="F18" s="8">
        <v>2242</v>
      </c>
      <c r="G18" s="8">
        <v>1568</v>
      </c>
      <c r="H18" s="8">
        <v>4493</v>
      </c>
      <c r="I18" s="8">
        <v>5745</v>
      </c>
      <c r="J18" s="8">
        <v>2854</v>
      </c>
      <c r="K18" s="8">
        <v>1820</v>
      </c>
    </row>
    <row r="19" spans="1:3" ht="12">
      <c r="A19" s="74" t="s">
        <v>10</v>
      </c>
      <c r="B19" s="74"/>
      <c r="C19" s="74"/>
    </row>
    <row r="20" spans="1:5" ht="12">
      <c r="A20" s="74" t="s">
        <v>16</v>
      </c>
      <c r="B20" s="74"/>
      <c r="C20" s="74"/>
      <c r="D20" s="231" t="s">
        <v>209</v>
      </c>
      <c r="E20" s="231" t="s">
        <v>209</v>
      </c>
    </row>
    <row r="21" spans="1:5" ht="12">
      <c r="A21" s="69" t="s">
        <v>16</v>
      </c>
      <c r="B21" s="69"/>
      <c r="C21" s="69"/>
      <c r="D21" s="232" t="s">
        <v>198</v>
      </c>
      <c r="E21" s="232" t="s">
        <v>198</v>
      </c>
    </row>
    <row r="22" ht="12">
      <c r="A22" s="74" t="s">
        <v>10</v>
      </c>
    </row>
    <row r="23" spans="1:11" ht="112.5">
      <c r="A23" s="74" t="s">
        <v>619</v>
      </c>
      <c r="E23" s="63" t="s">
        <v>620</v>
      </c>
      <c r="F23" s="57"/>
      <c r="G23" s="57"/>
      <c r="H23" s="57"/>
      <c r="I23" s="57"/>
      <c r="J23" s="57"/>
      <c r="K23" s="5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Header>&amp;L&amp;D/&amp;F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14">
    <pageSetUpPr fitToPage="1"/>
  </sheetPr>
  <dimension ref="A1:K13"/>
  <sheetViews>
    <sheetView zoomScaleSheetLayoutView="90" zoomScalePageLayoutView="0" workbookViewId="0" topLeftCell="A1">
      <selection activeCell="A13" sqref="A13:IV13"/>
    </sheetView>
  </sheetViews>
  <sheetFormatPr defaultColWidth="9.28125" defaultRowHeight="12.75"/>
  <cols>
    <col min="1" max="1" width="12.421875" style="69" bestFit="1" customWidth="1"/>
    <col min="2" max="2" width="12.28125" style="17" customWidth="1"/>
    <col min="3" max="3" width="11.28125" style="17" customWidth="1"/>
    <col min="4" max="4" width="27.57421875" style="17" hidden="1" customWidth="1"/>
    <col min="5" max="5" width="30.7109375" style="17" customWidth="1"/>
    <col min="6" max="16384" width="9.28125" style="17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2.75">
      <c r="A4" s="69" t="s">
        <v>6</v>
      </c>
      <c r="B4" s="33" t="s">
        <v>33</v>
      </c>
      <c r="D4" s="25" t="s">
        <v>154</v>
      </c>
      <c r="E4" s="25" t="s">
        <v>154</v>
      </c>
    </row>
    <row r="5" spans="2:5" ht="12.75">
      <c r="B5" s="33" t="s">
        <v>35</v>
      </c>
      <c r="C5" s="34"/>
      <c r="D5" s="15"/>
      <c r="E5" s="15"/>
    </row>
    <row r="6" spans="1:11" s="18" customFormat="1" ht="12.75">
      <c r="A6" s="70" t="s">
        <v>7</v>
      </c>
      <c r="B6" s="42" t="s">
        <v>34</v>
      </c>
      <c r="C6" s="39"/>
      <c r="D6" s="51" t="s">
        <v>138</v>
      </c>
      <c r="E6" s="51" t="s">
        <v>138</v>
      </c>
      <c r="F6" s="52">
        <v>2014</v>
      </c>
      <c r="G6" s="52">
        <v>2015</v>
      </c>
      <c r="H6" s="52">
        <v>2016</v>
      </c>
      <c r="I6" s="52">
        <v>2017</v>
      </c>
      <c r="J6" s="52">
        <v>2018</v>
      </c>
      <c r="K6" s="52">
        <v>2019</v>
      </c>
    </row>
    <row r="7" spans="1:5" s="14" customFormat="1" ht="12.75">
      <c r="A7" s="68" t="s">
        <v>177</v>
      </c>
      <c r="B7" s="68"/>
      <c r="C7" s="68" t="s">
        <v>168</v>
      </c>
      <c r="D7" s="14" t="s">
        <v>171</v>
      </c>
      <c r="E7" s="14" t="s">
        <v>171</v>
      </c>
    </row>
    <row r="8" spans="1:11" ht="12">
      <c r="A8" s="69" t="s">
        <v>8</v>
      </c>
      <c r="B8" s="69"/>
      <c r="C8" s="69" t="s">
        <v>168</v>
      </c>
      <c r="D8" s="32" t="s">
        <v>172</v>
      </c>
      <c r="E8" s="32" t="s">
        <v>172</v>
      </c>
      <c r="F8" s="5">
        <v>1.1</v>
      </c>
      <c r="G8" s="5">
        <v>2.2</v>
      </c>
      <c r="H8" s="5">
        <v>-1.1</v>
      </c>
      <c r="I8" s="5">
        <v>-0.4</v>
      </c>
      <c r="J8" s="5">
        <v>1.2</v>
      </c>
      <c r="K8" s="5">
        <v>-1</v>
      </c>
    </row>
    <row r="9" spans="1:11" ht="12">
      <c r="A9" s="69" t="s">
        <v>8</v>
      </c>
      <c r="B9" s="69"/>
      <c r="C9" s="69" t="s">
        <v>168</v>
      </c>
      <c r="D9" s="32" t="s">
        <v>173</v>
      </c>
      <c r="E9" s="32" t="s">
        <v>173</v>
      </c>
      <c r="F9" s="5">
        <v>0</v>
      </c>
      <c r="G9" s="5">
        <v>0.1</v>
      </c>
      <c r="H9" s="5">
        <v>0.1</v>
      </c>
      <c r="I9" s="5">
        <v>1</v>
      </c>
      <c r="J9" s="5">
        <v>0</v>
      </c>
      <c r="K9" s="5">
        <v>-0.3</v>
      </c>
    </row>
    <row r="10" spans="1:11" ht="12">
      <c r="A10" s="69" t="s">
        <v>8</v>
      </c>
      <c r="B10" s="69"/>
      <c r="C10" s="69" t="s">
        <v>168</v>
      </c>
      <c r="D10" s="43" t="s">
        <v>174</v>
      </c>
      <c r="E10" s="43" t="s">
        <v>174</v>
      </c>
      <c r="F10" s="2">
        <v>1.6411567461589907</v>
      </c>
      <c r="G10" s="2">
        <v>7.8</v>
      </c>
      <c r="H10" s="2">
        <v>-0.9577203649877335</v>
      </c>
      <c r="I10" s="2">
        <v>0.2</v>
      </c>
      <c r="J10" s="2">
        <v>0.9</v>
      </c>
      <c r="K10" s="2">
        <v>4.3</v>
      </c>
    </row>
    <row r="11" spans="1:11" s="25" customFormat="1" ht="12.75">
      <c r="A11" s="81" t="s">
        <v>1</v>
      </c>
      <c r="B11" s="81"/>
      <c r="C11" s="81" t="s">
        <v>168</v>
      </c>
      <c r="D11" s="41" t="s">
        <v>175</v>
      </c>
      <c r="E11" s="41" t="s">
        <v>175</v>
      </c>
      <c r="F11" s="6">
        <v>2.7411567461589907</v>
      </c>
      <c r="G11" s="6">
        <v>10.137057150245669</v>
      </c>
      <c r="H11" s="6">
        <v>-1.9577203649877337</v>
      </c>
      <c r="I11" s="6">
        <v>0.7985597846283434</v>
      </c>
      <c r="J11" s="6">
        <v>2.1</v>
      </c>
      <c r="K11" s="6">
        <v>3</v>
      </c>
    </row>
    <row r="12" ht="12">
      <c r="A12" s="74" t="s">
        <v>10</v>
      </c>
    </row>
    <row r="13" spans="1:11" ht="162">
      <c r="A13" s="74" t="s">
        <v>619</v>
      </c>
      <c r="E13" s="63" t="s">
        <v>620</v>
      </c>
      <c r="F13" s="57"/>
      <c r="G13" s="57"/>
      <c r="H13" s="57"/>
      <c r="I13" s="57"/>
      <c r="J13" s="57"/>
      <c r="K13" s="5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&amp;L&amp;D/&amp;F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15">
    <pageSetUpPr fitToPage="1"/>
  </sheetPr>
  <dimension ref="A1:K24"/>
  <sheetViews>
    <sheetView zoomScaleSheetLayoutView="100" zoomScalePageLayoutView="0" workbookViewId="0" topLeftCell="A1">
      <selection activeCell="A22" sqref="A22:IV22"/>
    </sheetView>
  </sheetViews>
  <sheetFormatPr defaultColWidth="9.28125" defaultRowHeight="12.75"/>
  <cols>
    <col min="1" max="1" width="11.28125" style="69" bestFit="1" customWidth="1"/>
    <col min="2" max="2" width="12.28125" style="17" bestFit="1" customWidth="1"/>
    <col min="3" max="3" width="11.28125" style="17" bestFit="1" customWidth="1"/>
    <col min="4" max="4" width="23.421875" style="17" hidden="1" customWidth="1"/>
    <col min="5" max="5" width="54.00390625" style="17" customWidth="1"/>
    <col min="6" max="11" width="7.57421875" style="17" bestFit="1" customWidth="1"/>
    <col min="12" max="16384" width="9.28125" style="17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5">
      <c r="A4" s="74" t="s">
        <v>6</v>
      </c>
      <c r="B4" s="33" t="s">
        <v>33</v>
      </c>
      <c r="D4" s="25" t="s">
        <v>576</v>
      </c>
      <c r="E4" s="25" t="s">
        <v>576</v>
      </c>
    </row>
    <row r="5" spans="2:5" ht="12.75">
      <c r="B5" s="33" t="s">
        <v>35</v>
      </c>
      <c r="C5" s="34" t="s">
        <v>139</v>
      </c>
      <c r="D5" s="15"/>
      <c r="E5" s="15"/>
    </row>
    <row r="6" spans="1:11" s="45" customFormat="1" ht="12.75">
      <c r="A6" s="75" t="s">
        <v>7</v>
      </c>
      <c r="B6" s="42" t="s">
        <v>34</v>
      </c>
      <c r="C6" s="39" t="s">
        <v>139</v>
      </c>
      <c r="D6" s="54" t="s">
        <v>178</v>
      </c>
      <c r="E6" s="54" t="s">
        <v>178</v>
      </c>
      <c r="F6" s="45">
        <v>2014</v>
      </c>
      <c r="G6" s="45">
        <v>2015</v>
      </c>
      <c r="H6" s="45">
        <v>2016</v>
      </c>
      <c r="I6" s="45">
        <v>2017</v>
      </c>
      <c r="J6" s="45">
        <v>2018</v>
      </c>
      <c r="K6" s="45">
        <v>2019</v>
      </c>
    </row>
    <row r="7" spans="1:5" s="14" customFormat="1" ht="12.75">
      <c r="A7" s="77" t="s">
        <v>177</v>
      </c>
      <c r="B7" s="90"/>
      <c r="C7" s="91"/>
      <c r="D7" s="92" t="s">
        <v>163</v>
      </c>
      <c r="E7" s="92" t="s">
        <v>163</v>
      </c>
    </row>
    <row r="8" spans="1:11" ht="12">
      <c r="A8" s="74" t="s">
        <v>8</v>
      </c>
      <c r="B8" s="74"/>
      <c r="C8" s="74"/>
      <c r="D8" s="19" t="s">
        <v>14</v>
      </c>
      <c r="E8" s="19" t="s">
        <v>14</v>
      </c>
      <c r="F8" s="8">
        <v>85688</v>
      </c>
      <c r="G8" s="8">
        <v>83471</v>
      </c>
      <c r="H8" s="8">
        <v>85848</v>
      </c>
      <c r="I8" s="8">
        <v>89542</v>
      </c>
      <c r="J8" s="8">
        <v>97312</v>
      </c>
      <c r="K8" s="8">
        <v>106808</v>
      </c>
    </row>
    <row r="9" spans="1:11" ht="12">
      <c r="A9" s="74" t="s">
        <v>8</v>
      </c>
      <c r="B9" s="96" t="s">
        <v>11</v>
      </c>
      <c r="C9" s="74"/>
      <c r="D9" s="19" t="s">
        <v>123</v>
      </c>
      <c r="E9" s="19" t="s">
        <v>123</v>
      </c>
      <c r="F9" s="8">
        <v>26099</v>
      </c>
      <c r="G9" s="8">
        <v>21412</v>
      </c>
      <c r="H9" s="8">
        <v>18098</v>
      </c>
      <c r="I9" s="8">
        <v>20678</v>
      </c>
      <c r="J9" s="8">
        <v>23574</v>
      </c>
      <c r="K9" s="8">
        <v>26172</v>
      </c>
    </row>
    <row r="10" spans="1:11" ht="12">
      <c r="A10" s="74" t="s">
        <v>8</v>
      </c>
      <c r="B10" s="96" t="s">
        <v>11</v>
      </c>
      <c r="C10" s="74"/>
      <c r="D10" s="19" t="s">
        <v>124</v>
      </c>
      <c r="E10" s="19" t="s">
        <v>124</v>
      </c>
      <c r="F10" s="8">
        <v>-8377</v>
      </c>
      <c r="G10" s="8">
        <v>-12234</v>
      </c>
      <c r="H10" s="8">
        <v>-14966</v>
      </c>
      <c r="I10" s="8">
        <v>-15873</v>
      </c>
      <c r="J10" s="8">
        <v>-16848</v>
      </c>
      <c r="K10" s="8">
        <v>-17390</v>
      </c>
    </row>
    <row r="11" spans="1:11" ht="12">
      <c r="A11" s="74" t="s">
        <v>8</v>
      </c>
      <c r="B11" s="74"/>
      <c r="C11" s="74"/>
      <c r="D11" s="19" t="s">
        <v>13</v>
      </c>
      <c r="E11" s="19" t="s">
        <v>13</v>
      </c>
      <c r="F11" s="8">
        <v>20663</v>
      </c>
      <c r="G11" s="8">
        <v>17745</v>
      </c>
      <c r="H11" s="8">
        <v>19408</v>
      </c>
      <c r="I11" s="8">
        <v>20747</v>
      </c>
      <c r="J11" s="8">
        <v>21482</v>
      </c>
      <c r="K11" s="8">
        <v>20847</v>
      </c>
    </row>
    <row r="12" spans="1:11" ht="12">
      <c r="A12" s="74" t="s">
        <v>8</v>
      </c>
      <c r="B12" s="74"/>
      <c r="C12" s="74"/>
      <c r="D12" s="19" t="s">
        <v>12</v>
      </c>
      <c r="E12" s="19" t="s">
        <v>12</v>
      </c>
      <c r="F12" s="8">
        <v>14324</v>
      </c>
      <c r="G12" s="8">
        <v>14179</v>
      </c>
      <c r="H12" s="8">
        <v>13418</v>
      </c>
      <c r="I12" s="8">
        <v>14655</v>
      </c>
      <c r="J12" s="8">
        <v>16750</v>
      </c>
      <c r="K12" s="8">
        <v>16194</v>
      </c>
    </row>
    <row r="13" spans="1:11" ht="12">
      <c r="A13" s="74" t="s">
        <v>8</v>
      </c>
      <c r="B13" s="74"/>
      <c r="C13" s="74"/>
      <c r="D13" s="19" t="s">
        <v>15</v>
      </c>
      <c r="E13" s="19" t="s">
        <v>15</v>
      </c>
      <c r="F13" s="8">
        <v>25705</v>
      </c>
      <c r="G13" s="8">
        <v>26467</v>
      </c>
      <c r="H13" s="8">
        <v>28283</v>
      </c>
      <c r="I13" s="8">
        <v>31114</v>
      </c>
      <c r="J13" s="8">
        <v>34443</v>
      </c>
      <c r="K13" s="8">
        <v>-33892</v>
      </c>
    </row>
    <row r="14" spans="1:11" ht="12">
      <c r="A14" s="74" t="s">
        <v>8</v>
      </c>
      <c r="B14" s="96" t="s">
        <v>11</v>
      </c>
      <c r="C14" s="74"/>
      <c r="D14" s="19" t="s">
        <v>24</v>
      </c>
      <c r="E14" s="19" t="s">
        <v>24</v>
      </c>
      <c r="F14" s="8">
        <v>16468</v>
      </c>
      <c r="G14" s="8">
        <v>15005</v>
      </c>
      <c r="H14" s="8">
        <v>17738</v>
      </c>
      <c r="I14" s="8">
        <v>20480</v>
      </c>
      <c r="J14" s="8">
        <v>21749</v>
      </c>
      <c r="K14" s="8">
        <v>22574</v>
      </c>
    </row>
    <row r="15" spans="1:11" ht="12">
      <c r="A15" s="74" t="s">
        <v>8</v>
      </c>
      <c r="B15" s="74"/>
      <c r="C15" s="74"/>
      <c r="D15" s="19" t="s">
        <v>23</v>
      </c>
      <c r="E15" s="19" t="s">
        <v>23</v>
      </c>
      <c r="F15" s="8">
        <v>14703</v>
      </c>
      <c r="G15" s="8">
        <v>13097</v>
      </c>
      <c r="H15" s="8">
        <v>10202</v>
      </c>
      <c r="I15" s="8">
        <v>9537</v>
      </c>
      <c r="J15" s="8">
        <v>9982</v>
      </c>
      <c r="K15" s="8">
        <v>10989</v>
      </c>
    </row>
    <row r="16" spans="1:11" ht="12">
      <c r="A16" s="74" t="s">
        <v>8</v>
      </c>
      <c r="B16" s="74"/>
      <c r="C16" s="74"/>
      <c r="D16" s="19" t="s">
        <v>161</v>
      </c>
      <c r="E16" s="19" t="s">
        <v>161</v>
      </c>
      <c r="F16" s="8">
        <v>4763</v>
      </c>
      <c r="G16" s="8">
        <v>4509</v>
      </c>
      <c r="H16" s="8">
        <v>4169</v>
      </c>
      <c r="I16" s="8">
        <v>2634</v>
      </c>
      <c r="J16" s="8">
        <v>3814</v>
      </c>
      <c r="K16" s="8">
        <v>3866</v>
      </c>
    </row>
    <row r="17" spans="1:11" ht="12">
      <c r="A17" s="74" t="s">
        <v>8</v>
      </c>
      <c r="B17" s="235" t="s">
        <v>237</v>
      </c>
      <c r="C17" s="74"/>
      <c r="D17" s="19" t="s">
        <v>160</v>
      </c>
      <c r="E17" s="19" t="s">
        <v>160</v>
      </c>
      <c r="F17" s="8">
        <v>4868</v>
      </c>
      <c r="G17" s="8">
        <v>1898</v>
      </c>
      <c r="H17" s="8">
        <v>-3809</v>
      </c>
      <c r="I17" s="8">
        <v>-2437</v>
      </c>
      <c r="J17" s="8">
        <v>-1989</v>
      </c>
      <c r="K17" s="8">
        <v>667</v>
      </c>
    </row>
    <row r="18" spans="1:11" s="18" customFormat="1" ht="12">
      <c r="A18" s="236" t="s">
        <v>8</v>
      </c>
      <c r="B18" s="237" t="s">
        <v>11</v>
      </c>
      <c r="C18" s="236"/>
      <c r="D18" s="20" t="s">
        <v>159</v>
      </c>
      <c r="E18" s="20" t="s">
        <v>159</v>
      </c>
      <c r="F18" s="9">
        <v>9631</v>
      </c>
      <c r="G18" s="9">
        <v>6407</v>
      </c>
      <c r="H18" s="9">
        <v>360</v>
      </c>
      <c r="I18" s="9">
        <v>197</v>
      </c>
      <c r="J18" s="9">
        <v>1825</v>
      </c>
      <c r="K18" s="9">
        <v>7683</v>
      </c>
    </row>
    <row r="19" ht="12">
      <c r="A19" s="74" t="s">
        <v>10</v>
      </c>
    </row>
    <row r="20" spans="1:5" ht="12">
      <c r="A20" s="74" t="s">
        <v>16</v>
      </c>
      <c r="D20" s="231" t="s">
        <v>613</v>
      </c>
      <c r="E20" s="231" t="s">
        <v>613</v>
      </c>
    </row>
    <row r="21" ht="12">
      <c r="A21" s="74" t="s">
        <v>10</v>
      </c>
    </row>
    <row r="22" spans="1:11" ht="112.5">
      <c r="A22" s="74" t="s">
        <v>619</v>
      </c>
      <c r="E22" s="63" t="s">
        <v>620</v>
      </c>
      <c r="F22" s="57"/>
      <c r="G22" s="57"/>
      <c r="H22" s="57"/>
      <c r="I22" s="57"/>
      <c r="J22" s="57"/>
      <c r="K22" s="57"/>
    </row>
    <row r="23" ht="12">
      <c r="A23" s="74"/>
    </row>
    <row r="24" ht="12">
      <c r="A24" s="7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  <headerFooter alignWithMargins="0">
    <oddHeader>&amp;L&amp;D/&amp;F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16">
    <pageSetUpPr fitToPage="1"/>
  </sheetPr>
  <dimension ref="A1:K19"/>
  <sheetViews>
    <sheetView zoomScaleSheetLayoutView="100" zoomScalePageLayoutView="0" workbookViewId="0" topLeftCell="A1">
      <selection activeCell="A19" sqref="A19:IV19"/>
    </sheetView>
  </sheetViews>
  <sheetFormatPr defaultColWidth="9.28125" defaultRowHeight="12.75"/>
  <cols>
    <col min="1" max="1" width="11.28125" style="69" bestFit="1" customWidth="1"/>
    <col min="2" max="2" width="12.28125" style="17" bestFit="1" customWidth="1"/>
    <col min="3" max="3" width="11.28125" style="17" bestFit="1" customWidth="1"/>
    <col min="4" max="4" width="23.421875" style="17" hidden="1" customWidth="1"/>
    <col min="5" max="5" width="66.7109375" style="17" bestFit="1" customWidth="1"/>
    <col min="6" max="11" width="7.57421875" style="17" bestFit="1" customWidth="1"/>
    <col min="12" max="16384" width="9.28125" style="17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5">
      <c r="A4" s="74" t="s">
        <v>6</v>
      </c>
      <c r="B4" s="33" t="s">
        <v>33</v>
      </c>
      <c r="D4" s="25" t="s">
        <v>577</v>
      </c>
      <c r="E4" s="25" t="s">
        <v>577</v>
      </c>
    </row>
    <row r="5" spans="2:5" ht="12.75">
      <c r="B5" s="33" t="s">
        <v>35</v>
      </c>
      <c r="C5" s="34" t="s">
        <v>139</v>
      </c>
      <c r="D5" s="15"/>
      <c r="E5" s="15"/>
    </row>
    <row r="6" spans="1:11" s="45" customFormat="1" ht="12.75">
      <c r="A6" s="75" t="s">
        <v>7</v>
      </c>
      <c r="B6" s="42" t="s">
        <v>34</v>
      </c>
      <c r="C6" s="39" t="s">
        <v>139</v>
      </c>
      <c r="D6" s="54" t="s">
        <v>178</v>
      </c>
      <c r="E6" s="54" t="s">
        <v>178</v>
      </c>
      <c r="F6" s="45">
        <v>2014</v>
      </c>
      <c r="G6" s="45">
        <v>2015</v>
      </c>
      <c r="H6" s="45">
        <v>2016</v>
      </c>
      <c r="I6" s="45">
        <v>2017</v>
      </c>
      <c r="J6" s="45">
        <v>2018</v>
      </c>
      <c r="K6" s="45">
        <v>2019</v>
      </c>
    </row>
    <row r="7" spans="1:5" s="14" customFormat="1" ht="12.75">
      <c r="A7" s="77" t="s">
        <v>177</v>
      </c>
      <c r="B7" s="90"/>
      <c r="C7" s="91"/>
      <c r="D7" s="92" t="s">
        <v>163</v>
      </c>
      <c r="E7" s="92" t="s">
        <v>163</v>
      </c>
    </row>
    <row r="8" spans="1:11" ht="12">
      <c r="A8" s="74" t="s">
        <v>8</v>
      </c>
      <c r="B8" s="74"/>
      <c r="C8" s="74"/>
      <c r="D8" s="19" t="s">
        <v>120</v>
      </c>
      <c r="E8" s="19" t="s">
        <v>120</v>
      </c>
      <c r="F8" s="8">
        <v>6045</v>
      </c>
      <c r="G8" s="8">
        <v>4704</v>
      </c>
      <c r="H8" s="8">
        <v>8837</v>
      </c>
      <c r="I8" s="8">
        <v>9757</v>
      </c>
      <c r="J8" s="8">
        <v>9046</v>
      </c>
      <c r="K8" s="8">
        <v>8971</v>
      </c>
    </row>
    <row r="9" spans="1:11" ht="12">
      <c r="A9" s="74" t="s">
        <v>8</v>
      </c>
      <c r="B9" s="74"/>
      <c r="C9" s="74"/>
      <c r="D9" s="19" t="s">
        <v>121</v>
      </c>
      <c r="E9" s="19" t="s">
        <v>121</v>
      </c>
      <c r="F9" s="8">
        <v>1777</v>
      </c>
      <c r="G9" s="8">
        <v>3563</v>
      </c>
      <c r="H9" s="8">
        <v>1328</v>
      </c>
      <c r="I9" s="8">
        <v>267</v>
      </c>
      <c r="J9" s="8">
        <v>-1000</v>
      </c>
      <c r="K9" s="8">
        <v>-357</v>
      </c>
    </row>
    <row r="10" spans="1:11" ht="12">
      <c r="A10" s="74" t="s">
        <v>8</v>
      </c>
      <c r="B10" s="235" t="s">
        <v>237</v>
      </c>
      <c r="D10" s="19" t="s">
        <v>17</v>
      </c>
      <c r="E10" s="19" t="s">
        <v>17</v>
      </c>
      <c r="F10" s="8">
        <v>7822</v>
      </c>
      <c r="G10" s="8">
        <v>8267</v>
      </c>
      <c r="H10" s="8">
        <v>10165</v>
      </c>
      <c r="I10" s="8">
        <v>10024</v>
      </c>
      <c r="J10" s="8">
        <v>8046</v>
      </c>
      <c r="K10" s="8">
        <v>8434</v>
      </c>
    </row>
    <row r="11" spans="1:11" ht="12">
      <c r="A11" s="74" t="s">
        <v>8</v>
      </c>
      <c r="B11" s="74"/>
      <c r="D11" s="19" t="s">
        <v>19</v>
      </c>
      <c r="E11" s="19" t="s">
        <v>19</v>
      </c>
      <c r="F11" s="8">
        <v>-3759</v>
      </c>
      <c r="G11" s="8">
        <v>-3403</v>
      </c>
      <c r="H11" s="8">
        <v>-2557</v>
      </c>
      <c r="I11" s="8">
        <v>-8200</v>
      </c>
      <c r="J11" s="8">
        <v>-6506</v>
      </c>
      <c r="K11" s="8">
        <v>-7683</v>
      </c>
    </row>
    <row r="12" spans="1:11" ht="12">
      <c r="A12" s="74" t="s">
        <v>8</v>
      </c>
      <c r="B12" s="74"/>
      <c r="D12" s="19" t="s">
        <v>225</v>
      </c>
      <c r="E12" s="19" t="s">
        <v>225</v>
      </c>
      <c r="F12" s="8">
        <v>-3006</v>
      </c>
      <c r="G12" s="8">
        <v>-3027</v>
      </c>
      <c r="H12" s="8">
        <v>-2830</v>
      </c>
      <c r="I12" s="8">
        <v>-3892</v>
      </c>
      <c r="J12" s="8">
        <v>-4650</v>
      </c>
      <c r="K12" s="8">
        <v>-5562</v>
      </c>
    </row>
    <row r="13" spans="1:11" ht="12">
      <c r="A13" s="74" t="s">
        <v>8</v>
      </c>
      <c r="B13" s="96" t="s">
        <v>11</v>
      </c>
      <c r="D13" s="19" t="s">
        <v>20</v>
      </c>
      <c r="E13" s="19" t="s">
        <v>20</v>
      </c>
      <c r="F13" s="8">
        <v>4063</v>
      </c>
      <c r="G13" s="8">
        <v>4864</v>
      </c>
      <c r="H13" s="8">
        <v>7608</v>
      </c>
      <c r="I13" s="8">
        <v>1824</v>
      </c>
      <c r="J13" s="8">
        <v>1540</v>
      </c>
      <c r="K13" s="8">
        <v>751</v>
      </c>
    </row>
    <row r="14" spans="1:11" ht="12">
      <c r="A14" s="74" t="s">
        <v>8</v>
      </c>
      <c r="B14" s="96" t="s">
        <v>11</v>
      </c>
      <c r="D14" s="19" t="s">
        <v>122</v>
      </c>
      <c r="E14" s="19" t="s">
        <v>122</v>
      </c>
      <c r="F14" s="8">
        <v>-1861</v>
      </c>
      <c r="G14" s="8">
        <v>-1870</v>
      </c>
      <c r="H14" s="8">
        <v>-1868</v>
      </c>
      <c r="I14" s="8">
        <v>-2155</v>
      </c>
      <c r="J14" s="8">
        <v>-2385</v>
      </c>
      <c r="K14" s="8">
        <v>-2443</v>
      </c>
    </row>
    <row r="15" spans="1:11" s="18" customFormat="1" ht="12">
      <c r="A15" s="236" t="s">
        <v>8</v>
      </c>
      <c r="B15" s="237" t="s">
        <v>11</v>
      </c>
      <c r="C15" s="236" t="s">
        <v>168</v>
      </c>
      <c r="D15" s="19" t="s">
        <v>226</v>
      </c>
      <c r="E15" s="19" t="s">
        <v>226</v>
      </c>
      <c r="F15" s="10">
        <v>2.680506139482625</v>
      </c>
      <c r="G15" s="10">
        <v>2.450793856417647</v>
      </c>
      <c r="H15" s="10">
        <v>2.3370467326765376</v>
      </c>
      <c r="I15" s="10">
        <v>3.1885957725708667</v>
      </c>
      <c r="J15" s="10">
        <v>3.7</v>
      </c>
      <c r="K15" s="10">
        <f>-K12/128261.838*100</f>
        <v>4.33644183393037</v>
      </c>
    </row>
    <row r="16" ht="12">
      <c r="A16" s="74" t="s">
        <v>10</v>
      </c>
    </row>
    <row r="17" spans="1:5" ht="12">
      <c r="A17" s="74" t="s">
        <v>16</v>
      </c>
      <c r="D17" s="231" t="s">
        <v>585</v>
      </c>
      <c r="E17" s="231" t="s">
        <v>585</v>
      </c>
    </row>
    <row r="18" ht="12">
      <c r="A18" s="74" t="s">
        <v>10</v>
      </c>
    </row>
    <row r="19" spans="1:11" ht="87">
      <c r="A19" s="74" t="s">
        <v>619</v>
      </c>
      <c r="E19" s="63" t="s">
        <v>620</v>
      </c>
      <c r="F19" s="57"/>
      <c r="G19" s="57"/>
      <c r="H19" s="57"/>
      <c r="I19" s="57"/>
      <c r="J19" s="57"/>
      <c r="K19" s="5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7" r:id="rId1"/>
  <headerFooter alignWithMargins="0">
    <oddHeader>&amp;L&amp;D/&amp;F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7">
    <pageSetUpPr fitToPage="1"/>
  </sheetPr>
  <dimension ref="A1:K23"/>
  <sheetViews>
    <sheetView zoomScale="90" zoomScaleNormal="90" zoomScalePageLayoutView="0" workbookViewId="0" topLeftCell="A1">
      <selection activeCell="A23" sqref="A23:IV23"/>
    </sheetView>
  </sheetViews>
  <sheetFormatPr defaultColWidth="9.140625" defaultRowHeight="12.75"/>
  <cols>
    <col min="1" max="1" width="11.28125" style="69" bestFit="1" customWidth="1"/>
    <col min="2" max="2" width="12.28125" style="0" bestFit="1" customWidth="1"/>
    <col min="3" max="3" width="11.28125" style="0" bestFit="1" customWidth="1"/>
    <col min="4" max="4" width="46.421875" style="0" hidden="1" customWidth="1"/>
    <col min="5" max="5" width="38.7109375" style="0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2.75">
      <c r="A4" s="69" t="s">
        <v>6</v>
      </c>
      <c r="B4" s="33" t="s">
        <v>33</v>
      </c>
      <c r="C4" s="17"/>
      <c r="D4" s="53" t="s">
        <v>199</v>
      </c>
      <c r="E4" s="53" t="s">
        <v>199</v>
      </c>
    </row>
    <row r="5" spans="2:5" ht="12.75">
      <c r="B5" s="33" t="s">
        <v>35</v>
      </c>
      <c r="C5" s="39" t="s">
        <v>139</v>
      </c>
      <c r="D5" s="44"/>
      <c r="E5" s="44"/>
    </row>
    <row r="6" spans="1:9" ht="15">
      <c r="A6" s="70" t="s">
        <v>7</v>
      </c>
      <c r="B6" s="42" t="s">
        <v>34</v>
      </c>
      <c r="C6" s="39" t="s">
        <v>139</v>
      </c>
      <c r="D6" s="51" t="s">
        <v>138</v>
      </c>
      <c r="E6" s="51" t="s">
        <v>138</v>
      </c>
      <c r="F6" s="31">
        <v>2016</v>
      </c>
      <c r="G6" s="31" t="s">
        <v>205</v>
      </c>
      <c r="H6" s="31">
        <v>2018</v>
      </c>
      <c r="I6" s="31">
        <v>2019</v>
      </c>
    </row>
    <row r="7" spans="1:5" s="14" customFormat="1" ht="12.75">
      <c r="A7" s="77" t="s">
        <v>177</v>
      </c>
      <c r="B7" s="77"/>
      <c r="C7" s="77"/>
      <c r="D7" s="14" t="s">
        <v>3</v>
      </c>
      <c r="E7" s="14" t="s">
        <v>3</v>
      </c>
    </row>
    <row r="8" spans="1:9" ht="12">
      <c r="A8" s="74" t="s">
        <v>8</v>
      </c>
      <c r="B8" s="96" t="s">
        <v>11</v>
      </c>
      <c r="C8" s="74"/>
      <c r="D8" s="19" t="s">
        <v>116</v>
      </c>
      <c r="E8" s="19" t="s">
        <v>116</v>
      </c>
      <c r="F8" s="1">
        <v>39097</v>
      </c>
      <c r="G8" s="1">
        <v>39231</v>
      </c>
      <c r="H8" s="1">
        <v>43321</v>
      </c>
      <c r="I8" s="1">
        <v>45420</v>
      </c>
    </row>
    <row r="9" spans="1:9" ht="12">
      <c r="A9" s="74" t="s">
        <v>8</v>
      </c>
      <c r="B9" s="96" t="s">
        <v>11</v>
      </c>
      <c r="C9" s="74" t="s">
        <v>168</v>
      </c>
      <c r="D9" s="19" t="s">
        <v>172</v>
      </c>
      <c r="E9" s="19" t="s">
        <v>172</v>
      </c>
      <c r="F9" s="2"/>
      <c r="G9" s="2"/>
      <c r="H9" s="2">
        <v>4.7</v>
      </c>
      <c r="I9" s="2">
        <v>1.7</v>
      </c>
    </row>
    <row r="10" spans="1:9" ht="12">
      <c r="A10" s="74" t="s">
        <v>8</v>
      </c>
      <c r="B10" s="96" t="s">
        <v>11</v>
      </c>
      <c r="C10" s="74" t="s">
        <v>168</v>
      </c>
      <c r="D10" s="19" t="s">
        <v>173</v>
      </c>
      <c r="E10" s="19" t="s">
        <v>173</v>
      </c>
      <c r="F10" s="129"/>
      <c r="G10" s="129"/>
      <c r="H10" s="129">
        <v>0.7</v>
      </c>
      <c r="I10" s="129">
        <v>0.1</v>
      </c>
    </row>
    <row r="11" spans="1:9" ht="12">
      <c r="A11" s="74" t="s">
        <v>8</v>
      </c>
      <c r="B11" s="96" t="s">
        <v>11</v>
      </c>
      <c r="C11" s="74"/>
      <c r="D11" s="19" t="s">
        <v>118</v>
      </c>
      <c r="E11" s="19" t="s">
        <v>118</v>
      </c>
      <c r="F11" s="1">
        <v>2794</v>
      </c>
      <c r="G11" s="1">
        <v>2772</v>
      </c>
      <c r="H11" s="1">
        <v>2128</v>
      </c>
      <c r="I11" s="1">
        <v>2493</v>
      </c>
    </row>
    <row r="12" spans="1:9" ht="12">
      <c r="A12" s="74" t="s">
        <v>8</v>
      </c>
      <c r="B12" s="96" t="s">
        <v>11</v>
      </c>
      <c r="C12" s="74" t="s">
        <v>168</v>
      </c>
      <c r="D12" s="19" t="s">
        <v>169</v>
      </c>
      <c r="E12" s="19" t="s">
        <v>169</v>
      </c>
      <c r="F12" s="2">
        <v>7.1</v>
      </c>
      <c r="G12" s="2">
        <f>G11/G8*100</f>
        <v>7.065840789171829</v>
      </c>
      <c r="H12" s="2">
        <v>4.9</v>
      </c>
      <c r="I12" s="2">
        <v>5.5</v>
      </c>
    </row>
    <row r="13" spans="1:9" ht="14.25">
      <c r="A13" s="74" t="s">
        <v>8</v>
      </c>
      <c r="B13" s="96" t="s">
        <v>11</v>
      </c>
      <c r="C13" s="74"/>
      <c r="D13" s="19" t="s">
        <v>211</v>
      </c>
      <c r="E13" s="19" t="s">
        <v>211</v>
      </c>
      <c r="F13" s="1">
        <v>2794</v>
      </c>
      <c r="G13" s="1">
        <v>2772</v>
      </c>
      <c r="H13" s="1">
        <f>2128--747</f>
        <v>2875</v>
      </c>
      <c r="I13" s="1">
        <v>3245</v>
      </c>
    </row>
    <row r="14" spans="1:9" ht="14.25">
      <c r="A14" s="74" t="s">
        <v>8</v>
      </c>
      <c r="B14" s="235" t="s">
        <v>237</v>
      </c>
      <c r="C14" s="74" t="s">
        <v>168</v>
      </c>
      <c r="D14" s="97" t="s">
        <v>206</v>
      </c>
      <c r="E14" s="97" t="s">
        <v>206</v>
      </c>
      <c r="F14" s="2">
        <f>F13/F8*100</f>
        <v>7.146328362789984</v>
      </c>
      <c r="G14" s="2">
        <f>G13/G8*100</f>
        <v>7.065840789171829</v>
      </c>
      <c r="H14" s="2">
        <f>H13/H8*100</f>
        <v>6.636504235820964</v>
      </c>
      <c r="I14" s="2">
        <v>7.1</v>
      </c>
    </row>
    <row r="15" spans="1:9" ht="12">
      <c r="A15" s="74" t="s">
        <v>8</v>
      </c>
      <c r="B15" s="96" t="s">
        <v>11</v>
      </c>
      <c r="C15" s="74"/>
      <c r="D15" s="19" t="s">
        <v>123</v>
      </c>
      <c r="E15" s="19" t="s">
        <v>123</v>
      </c>
      <c r="F15" s="1">
        <v>110</v>
      </c>
      <c r="G15" s="1">
        <v>645</v>
      </c>
      <c r="H15" s="1">
        <v>510</v>
      </c>
      <c r="I15" s="1">
        <v>1429</v>
      </c>
    </row>
    <row r="16" spans="1:9" ht="12">
      <c r="A16" s="74" t="s">
        <v>8</v>
      </c>
      <c r="B16" s="96" t="s">
        <v>11</v>
      </c>
      <c r="C16" s="74" t="s">
        <v>168</v>
      </c>
      <c r="D16" s="19" t="s">
        <v>176</v>
      </c>
      <c r="E16" s="19" t="s">
        <v>176</v>
      </c>
      <c r="F16" s="2">
        <v>294.2</v>
      </c>
      <c r="G16" s="2">
        <v>248.1</v>
      </c>
      <c r="H16" s="2">
        <v>177.1</v>
      </c>
      <c r="I16" s="2">
        <v>108.4</v>
      </c>
    </row>
    <row r="17" spans="1:9" ht="12">
      <c r="A17" s="74" t="s">
        <v>8</v>
      </c>
      <c r="B17" s="96" t="s">
        <v>11</v>
      </c>
      <c r="C17" s="74"/>
      <c r="D17" s="19" t="s">
        <v>149</v>
      </c>
      <c r="E17" s="19" t="s">
        <v>149</v>
      </c>
      <c r="F17" s="1">
        <v>1447</v>
      </c>
      <c r="G17" s="1">
        <v>1482</v>
      </c>
      <c r="H17" s="1">
        <v>1741</v>
      </c>
      <c r="I17" s="1">
        <v>2399</v>
      </c>
    </row>
    <row r="18" spans="1:9" ht="12">
      <c r="A18" s="74" t="s">
        <v>8</v>
      </c>
      <c r="B18" s="96" t="s">
        <v>11</v>
      </c>
      <c r="C18" s="74" t="s">
        <v>181</v>
      </c>
      <c r="D18" s="19" t="s">
        <v>21</v>
      </c>
      <c r="E18" s="19" t="s">
        <v>21</v>
      </c>
      <c r="F18" s="1">
        <v>17910</v>
      </c>
      <c r="G18" s="1">
        <v>18084</v>
      </c>
      <c r="H18" s="1">
        <v>18325</v>
      </c>
      <c r="I18" s="1">
        <v>17943</v>
      </c>
    </row>
    <row r="19" spans="1:3" ht="12">
      <c r="A19" s="74" t="s">
        <v>10</v>
      </c>
      <c r="B19" s="74"/>
      <c r="C19" s="74"/>
    </row>
    <row r="20" spans="1:5" ht="12">
      <c r="A20" s="74" t="s">
        <v>16</v>
      </c>
      <c r="D20" s="17" t="s">
        <v>207</v>
      </c>
      <c r="E20" s="17" t="s">
        <v>207</v>
      </c>
    </row>
    <row r="21" spans="1:5" ht="12">
      <c r="A21" s="74" t="s">
        <v>16</v>
      </c>
      <c r="D21" s="231" t="s">
        <v>210</v>
      </c>
      <c r="E21" s="231" t="s">
        <v>210</v>
      </c>
    </row>
    <row r="22" spans="1:5" ht="12">
      <c r="A22" s="74" t="s">
        <v>10</v>
      </c>
      <c r="B22" s="17"/>
      <c r="C22" s="17"/>
      <c r="D22" s="17"/>
      <c r="E22" s="17"/>
    </row>
    <row r="23" spans="1:11" s="17" customFormat="1" ht="137.25">
      <c r="A23" s="74" t="s">
        <v>619</v>
      </c>
      <c r="E23" s="63" t="s">
        <v>620</v>
      </c>
      <c r="F23" s="57"/>
      <c r="G23" s="57"/>
      <c r="H23" s="57"/>
      <c r="I23" s="57"/>
      <c r="J23" s="57"/>
      <c r="K23" s="5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&amp;L&amp;D/&amp;F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8"/>
  <dimension ref="A1:K23"/>
  <sheetViews>
    <sheetView zoomScalePageLayoutView="0" workbookViewId="0" topLeftCell="A1">
      <selection activeCell="A23" sqref="A23:IV23"/>
    </sheetView>
  </sheetViews>
  <sheetFormatPr defaultColWidth="9.140625" defaultRowHeight="12.75"/>
  <cols>
    <col min="1" max="1" width="11.28125" style="69" bestFit="1" customWidth="1"/>
    <col min="2" max="2" width="12.28125" style="0" customWidth="1"/>
    <col min="3" max="3" width="11.28125" style="0" customWidth="1"/>
    <col min="4" max="4" width="31.00390625" style="0" hidden="1" customWidth="1"/>
    <col min="5" max="5" width="39.00390625" style="0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2.75">
      <c r="A4" s="69" t="s">
        <v>6</v>
      </c>
      <c r="B4" s="33" t="s">
        <v>33</v>
      </c>
      <c r="C4" s="17"/>
      <c r="D4" s="53" t="s">
        <v>200</v>
      </c>
      <c r="E4" s="53" t="s">
        <v>200</v>
      </c>
    </row>
    <row r="5" spans="1:5" ht="12.75">
      <c r="A5" s="74"/>
      <c r="B5" s="33" t="s">
        <v>35</v>
      </c>
      <c r="C5" s="39" t="s">
        <v>139</v>
      </c>
      <c r="D5" s="44"/>
      <c r="E5" s="44"/>
    </row>
    <row r="6" spans="1:9" ht="15">
      <c r="A6" s="70" t="s">
        <v>7</v>
      </c>
      <c r="B6" s="42" t="s">
        <v>34</v>
      </c>
      <c r="C6" s="39" t="s">
        <v>139</v>
      </c>
      <c r="D6" s="51" t="s">
        <v>138</v>
      </c>
      <c r="E6" s="51" t="s">
        <v>138</v>
      </c>
      <c r="F6" s="31">
        <v>2016</v>
      </c>
      <c r="G6" s="31" t="s">
        <v>205</v>
      </c>
      <c r="H6" s="31">
        <v>2018</v>
      </c>
      <c r="I6" s="31">
        <v>2019</v>
      </c>
    </row>
    <row r="7" spans="1:5" s="14" customFormat="1" ht="12.75">
      <c r="A7" s="77" t="s">
        <v>177</v>
      </c>
      <c r="B7" s="77"/>
      <c r="C7" s="77"/>
      <c r="D7" s="14" t="s">
        <v>3</v>
      </c>
      <c r="E7" s="14" t="s">
        <v>3</v>
      </c>
    </row>
    <row r="8" spans="1:9" ht="12">
      <c r="A8" s="74" t="s">
        <v>8</v>
      </c>
      <c r="B8" s="96" t="s">
        <v>11</v>
      </c>
      <c r="C8" s="74"/>
      <c r="D8" s="19" t="s">
        <v>116</v>
      </c>
      <c r="E8" s="19" t="s">
        <v>116</v>
      </c>
      <c r="F8" s="1">
        <v>44914</v>
      </c>
      <c r="G8" s="1">
        <v>42083</v>
      </c>
      <c r="H8" s="1">
        <v>39804</v>
      </c>
      <c r="I8" s="1">
        <v>38954</v>
      </c>
    </row>
    <row r="9" spans="1:9" ht="12">
      <c r="A9" s="74" t="s">
        <v>8</v>
      </c>
      <c r="B9" s="96" t="s">
        <v>11</v>
      </c>
      <c r="C9" s="74" t="s">
        <v>168</v>
      </c>
      <c r="D9" s="19" t="s">
        <v>172</v>
      </c>
      <c r="E9" s="19" t="s">
        <v>172</v>
      </c>
      <c r="F9" s="2"/>
      <c r="G9" s="2"/>
      <c r="H9" s="2">
        <v>-6.3</v>
      </c>
      <c r="I9" s="2">
        <v>-8.7</v>
      </c>
    </row>
    <row r="10" spans="1:9" ht="12">
      <c r="A10" s="74" t="s">
        <v>8</v>
      </c>
      <c r="B10" s="96" t="s">
        <v>11</v>
      </c>
      <c r="C10" s="74" t="s">
        <v>168</v>
      </c>
      <c r="D10" s="19" t="s">
        <v>173</v>
      </c>
      <c r="E10" s="19" t="s">
        <v>173</v>
      </c>
      <c r="F10" s="2"/>
      <c r="G10" s="2"/>
      <c r="H10" s="2">
        <v>-0.9</v>
      </c>
      <c r="I10" s="2">
        <v>-1</v>
      </c>
    </row>
    <row r="11" spans="1:9" ht="12">
      <c r="A11" s="74" t="s">
        <v>8</v>
      </c>
      <c r="B11" s="96" t="s">
        <v>11</v>
      </c>
      <c r="C11" s="74"/>
      <c r="D11" s="19" t="s">
        <v>118</v>
      </c>
      <c r="E11" s="19" t="s">
        <v>118</v>
      </c>
      <c r="F11" s="1">
        <v>2657</v>
      </c>
      <c r="G11" s="1">
        <v>2796</v>
      </c>
      <c r="H11" s="1">
        <v>1104</v>
      </c>
      <c r="I11" s="1">
        <v>-516</v>
      </c>
    </row>
    <row r="12" spans="1:9" ht="12">
      <c r="A12" s="74" t="s">
        <v>8</v>
      </c>
      <c r="B12" s="96" t="s">
        <v>11</v>
      </c>
      <c r="C12" s="74" t="s">
        <v>168</v>
      </c>
      <c r="D12" s="19" t="s">
        <v>169</v>
      </c>
      <c r="E12" s="19" t="s">
        <v>169</v>
      </c>
      <c r="F12" s="2">
        <v>5.9</v>
      </c>
      <c r="G12" s="2">
        <v>6.6</v>
      </c>
      <c r="H12" s="2">
        <v>2.8</v>
      </c>
      <c r="I12" s="2">
        <v>-1.3</v>
      </c>
    </row>
    <row r="13" spans="1:9" ht="14.25">
      <c r="A13" s="74" t="s">
        <v>8</v>
      </c>
      <c r="B13" s="96" t="s">
        <v>11</v>
      </c>
      <c r="C13" s="74"/>
      <c r="D13" s="19" t="s">
        <v>211</v>
      </c>
      <c r="E13" s="19" t="s">
        <v>211</v>
      </c>
      <c r="F13" s="1">
        <v>2657</v>
      </c>
      <c r="G13" s="1">
        <v>2796</v>
      </c>
      <c r="H13" s="1">
        <f>1104--596</f>
        <v>1700</v>
      </c>
      <c r="I13" s="1">
        <v>555</v>
      </c>
    </row>
    <row r="14" spans="1:9" ht="14.25">
      <c r="A14" s="74" t="s">
        <v>8</v>
      </c>
      <c r="B14" s="235" t="s">
        <v>237</v>
      </c>
      <c r="C14" s="74" t="s">
        <v>168</v>
      </c>
      <c r="D14" s="97" t="s">
        <v>206</v>
      </c>
      <c r="E14" s="97" t="s">
        <v>206</v>
      </c>
      <c r="F14" s="2">
        <f>F13/F8*100</f>
        <v>5.9157501001914765</v>
      </c>
      <c r="G14" s="2">
        <f>G13/G8*100</f>
        <v>6.644013021885321</v>
      </c>
      <c r="H14" s="2">
        <f>H13/H8*100</f>
        <v>4.270927544970355</v>
      </c>
      <c r="I14" s="2">
        <v>1.4</v>
      </c>
    </row>
    <row r="15" spans="1:9" ht="12">
      <c r="A15" s="74" t="s">
        <v>8</v>
      </c>
      <c r="B15" s="96" t="s">
        <v>11</v>
      </c>
      <c r="C15" s="74"/>
      <c r="D15" s="19" t="s">
        <v>123</v>
      </c>
      <c r="E15" s="19" t="s">
        <v>123</v>
      </c>
      <c r="F15" s="1">
        <v>2579</v>
      </c>
      <c r="G15" s="1">
        <v>3134</v>
      </c>
      <c r="H15" s="1">
        <v>3802</v>
      </c>
      <c r="I15" s="1">
        <v>6496</v>
      </c>
    </row>
    <row r="16" spans="1:9" ht="12">
      <c r="A16" s="74" t="s">
        <v>8</v>
      </c>
      <c r="B16" s="96" t="s">
        <v>11</v>
      </c>
      <c r="C16" s="74" t="s">
        <v>168</v>
      </c>
      <c r="D16" s="19" t="s">
        <v>176</v>
      </c>
      <c r="E16" s="19" t="s">
        <v>176</v>
      </c>
      <c r="F16" s="2">
        <v>72.7</v>
      </c>
      <c r="G16" s="2">
        <v>99.7</v>
      </c>
      <c r="H16" s="2">
        <v>29.3</v>
      </c>
      <c r="I16" s="2">
        <v>-8.3</v>
      </c>
    </row>
    <row r="17" spans="1:9" ht="12">
      <c r="A17" s="74" t="s">
        <v>8</v>
      </c>
      <c r="B17" s="96" t="s">
        <v>11</v>
      </c>
      <c r="C17" s="74"/>
      <c r="D17" s="19" t="s">
        <v>149</v>
      </c>
      <c r="E17" s="19" t="s">
        <v>149</v>
      </c>
      <c r="F17" s="1">
        <v>695</v>
      </c>
      <c r="G17" s="1">
        <v>1499</v>
      </c>
      <c r="H17" s="1">
        <v>2099</v>
      </c>
      <c r="I17" s="1">
        <v>2573</v>
      </c>
    </row>
    <row r="18" spans="1:9" ht="12">
      <c r="A18" s="74" t="s">
        <v>8</v>
      </c>
      <c r="B18" s="96" t="s">
        <v>11</v>
      </c>
      <c r="C18" s="74" t="s">
        <v>181</v>
      </c>
      <c r="D18" s="19" t="s">
        <v>21</v>
      </c>
      <c r="E18" s="19" t="s">
        <v>21</v>
      </c>
      <c r="F18" s="1">
        <v>15248</v>
      </c>
      <c r="G18" s="1">
        <v>14678</v>
      </c>
      <c r="H18" s="1">
        <v>13325</v>
      </c>
      <c r="I18" s="1">
        <v>11287</v>
      </c>
    </row>
    <row r="19" spans="1:5" ht="12">
      <c r="A19" s="74" t="s">
        <v>10</v>
      </c>
      <c r="B19" s="74"/>
      <c r="C19" s="74"/>
      <c r="D19" s="19"/>
      <c r="E19" s="19"/>
    </row>
    <row r="20" spans="1:5" ht="12">
      <c r="A20" s="74" t="s">
        <v>16</v>
      </c>
      <c r="D20" s="17" t="s">
        <v>207</v>
      </c>
      <c r="E20" s="17" t="s">
        <v>207</v>
      </c>
    </row>
    <row r="21" spans="1:5" ht="12">
      <c r="A21" s="74" t="s">
        <v>16</v>
      </c>
      <c r="D21" s="231" t="s">
        <v>210</v>
      </c>
      <c r="E21" s="231" t="s">
        <v>210</v>
      </c>
    </row>
    <row r="22" spans="1:5" ht="12">
      <c r="A22" s="74" t="s">
        <v>10</v>
      </c>
      <c r="B22" s="17"/>
      <c r="C22" s="17"/>
      <c r="D22" s="17"/>
      <c r="E22" s="17"/>
    </row>
    <row r="23" spans="1:11" s="17" customFormat="1" ht="137.25">
      <c r="A23" s="74" t="s">
        <v>619</v>
      </c>
      <c r="E23" s="63" t="s">
        <v>620</v>
      </c>
      <c r="F23" s="57"/>
      <c r="G23" s="57"/>
      <c r="H23" s="57"/>
      <c r="I23" s="57"/>
      <c r="J23" s="57"/>
      <c r="K23" s="57"/>
    </row>
  </sheetData>
  <sheetProtection/>
  <printOptions/>
  <pageMargins left="0.75" right="0.75" top="1" bottom="1" header="0.5" footer="0.5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9">
    <pageSetUpPr fitToPage="1"/>
  </sheetPr>
  <dimension ref="A1:K22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11.28125" style="69" bestFit="1" customWidth="1"/>
    <col min="2" max="2" width="12.28125" style="0" bestFit="1" customWidth="1"/>
    <col min="3" max="3" width="11.28125" style="0" bestFit="1" customWidth="1"/>
    <col min="4" max="4" width="23.00390625" style="0" hidden="1" customWidth="1"/>
    <col min="5" max="5" width="40.00390625" style="0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2.75">
      <c r="A4" s="69" t="s">
        <v>6</v>
      </c>
      <c r="B4" s="33" t="s">
        <v>33</v>
      </c>
      <c r="C4" s="17"/>
      <c r="D4" s="53" t="s">
        <v>201</v>
      </c>
      <c r="E4" s="53" t="s">
        <v>201</v>
      </c>
    </row>
    <row r="5" spans="2:5" ht="12.75">
      <c r="B5" s="33" t="s">
        <v>35</v>
      </c>
      <c r="C5" s="39" t="s">
        <v>139</v>
      </c>
      <c r="D5" s="44"/>
      <c r="E5" s="44"/>
    </row>
    <row r="6" spans="1:9" ht="12.75">
      <c r="A6" s="70" t="s">
        <v>7</v>
      </c>
      <c r="B6" s="42" t="s">
        <v>34</v>
      </c>
      <c r="C6" s="39" t="s">
        <v>139</v>
      </c>
      <c r="D6" s="51" t="s">
        <v>138</v>
      </c>
      <c r="E6" s="51" t="s">
        <v>138</v>
      </c>
      <c r="F6" s="31">
        <v>2016</v>
      </c>
      <c r="G6" s="31">
        <v>2017</v>
      </c>
      <c r="H6" s="31">
        <v>2018</v>
      </c>
      <c r="I6" s="31">
        <v>2019</v>
      </c>
    </row>
    <row r="7" spans="1:5" s="14" customFormat="1" ht="12.75">
      <c r="A7" s="77" t="s">
        <v>177</v>
      </c>
      <c r="B7" s="77"/>
      <c r="C7" s="77"/>
      <c r="D7" s="14" t="s">
        <v>3</v>
      </c>
      <c r="E7" s="14" t="s">
        <v>3</v>
      </c>
    </row>
    <row r="8" spans="1:9" ht="12">
      <c r="A8" s="74" t="s">
        <v>8</v>
      </c>
      <c r="B8" s="96" t="s">
        <v>11</v>
      </c>
      <c r="C8" s="74"/>
      <c r="D8" s="19" t="s">
        <v>116</v>
      </c>
      <c r="E8" s="19" t="s">
        <v>116</v>
      </c>
      <c r="F8" s="1">
        <v>16384</v>
      </c>
      <c r="G8" s="1">
        <v>18277</v>
      </c>
      <c r="H8" s="1">
        <v>17963</v>
      </c>
      <c r="I8" s="1">
        <v>19653</v>
      </c>
    </row>
    <row r="9" spans="1:9" ht="12">
      <c r="A9" s="74" t="s">
        <v>8</v>
      </c>
      <c r="B9" s="96" t="s">
        <v>11</v>
      </c>
      <c r="C9" s="74" t="s">
        <v>168</v>
      </c>
      <c r="D9" s="19" t="s">
        <v>172</v>
      </c>
      <c r="E9" s="19" t="s">
        <v>172</v>
      </c>
      <c r="F9" s="2"/>
      <c r="G9" s="2"/>
      <c r="H9" s="2">
        <v>9.3</v>
      </c>
      <c r="I9" s="2">
        <v>10.9</v>
      </c>
    </row>
    <row r="10" spans="1:9" ht="12">
      <c r="A10" s="74" t="s">
        <v>8</v>
      </c>
      <c r="B10" s="96" t="s">
        <v>11</v>
      </c>
      <c r="C10" s="74" t="s">
        <v>168</v>
      </c>
      <c r="D10" s="19" t="s">
        <v>173</v>
      </c>
      <c r="E10" s="19" t="s">
        <v>173</v>
      </c>
      <c r="F10" s="129"/>
      <c r="G10" s="129"/>
      <c r="H10" s="129">
        <v>0</v>
      </c>
      <c r="I10" s="129">
        <v>0</v>
      </c>
    </row>
    <row r="11" spans="1:9" ht="12">
      <c r="A11" s="74" t="s">
        <v>8</v>
      </c>
      <c r="B11" s="96" t="s">
        <v>11</v>
      </c>
      <c r="C11" s="74"/>
      <c r="D11" s="19" t="s">
        <v>118</v>
      </c>
      <c r="E11" s="19" t="s">
        <v>118</v>
      </c>
      <c r="F11" s="1">
        <v>-111</v>
      </c>
      <c r="G11" s="1">
        <v>483</v>
      </c>
      <c r="H11" s="1">
        <v>492</v>
      </c>
      <c r="I11" s="1">
        <v>1821</v>
      </c>
    </row>
    <row r="12" spans="1:9" ht="12">
      <c r="A12" s="74" t="s">
        <v>8</v>
      </c>
      <c r="B12" s="96" t="s">
        <v>11</v>
      </c>
      <c r="C12" s="74" t="s">
        <v>168</v>
      </c>
      <c r="D12" s="19" t="s">
        <v>169</v>
      </c>
      <c r="E12" s="19" t="s">
        <v>169</v>
      </c>
      <c r="F12" s="2">
        <v>-0.7</v>
      </c>
      <c r="G12" s="2">
        <v>2.6</v>
      </c>
      <c r="H12" s="2">
        <v>2.7</v>
      </c>
      <c r="I12" s="2">
        <v>9.3</v>
      </c>
    </row>
    <row r="13" spans="1:9" ht="14.25">
      <c r="A13" s="74" t="s">
        <v>8</v>
      </c>
      <c r="B13" s="96" t="s">
        <v>11</v>
      </c>
      <c r="C13" s="74"/>
      <c r="D13" s="19" t="s">
        <v>211</v>
      </c>
      <c r="E13" s="19" t="s">
        <v>211</v>
      </c>
      <c r="F13" s="1">
        <f>-111</f>
        <v>-111</v>
      </c>
      <c r="G13" s="1">
        <v>483</v>
      </c>
      <c r="H13" s="1">
        <v>492</v>
      </c>
      <c r="I13" s="1">
        <v>720</v>
      </c>
    </row>
    <row r="14" spans="1:9" ht="14.25">
      <c r="A14" s="74" t="s">
        <v>8</v>
      </c>
      <c r="B14" s="235" t="s">
        <v>237</v>
      </c>
      <c r="C14" s="74" t="s">
        <v>168</v>
      </c>
      <c r="D14" s="97" t="s">
        <v>206</v>
      </c>
      <c r="E14" s="97" t="s">
        <v>206</v>
      </c>
      <c r="F14" s="2">
        <f>F13/F8*100</f>
        <v>-0.677490234375</v>
      </c>
      <c r="G14" s="2">
        <f>G13/G8*100</f>
        <v>2.6426656453466104</v>
      </c>
      <c r="H14" s="2">
        <f>H13/H8*100</f>
        <v>2.7389634248176806</v>
      </c>
      <c r="I14" s="2">
        <v>3.7</v>
      </c>
    </row>
    <row r="15" spans="1:9" ht="12">
      <c r="A15" s="74" t="s">
        <v>8</v>
      </c>
      <c r="B15" s="96" t="s">
        <v>11</v>
      </c>
      <c r="C15" s="74"/>
      <c r="D15" s="19" t="s">
        <v>123</v>
      </c>
      <c r="E15" s="19" t="s">
        <v>123</v>
      </c>
      <c r="F15" s="1">
        <v>6859</v>
      </c>
      <c r="G15" s="1">
        <v>6388</v>
      </c>
      <c r="H15" s="1">
        <v>6186</v>
      </c>
      <c r="I15" s="1">
        <v>7044</v>
      </c>
    </row>
    <row r="16" spans="1:9" ht="12">
      <c r="A16" s="74" t="s">
        <v>8</v>
      </c>
      <c r="B16" s="96" t="s">
        <v>11</v>
      </c>
      <c r="C16" s="74" t="s">
        <v>168</v>
      </c>
      <c r="D16" s="19" t="s">
        <v>176</v>
      </c>
      <c r="E16" s="19" t="s">
        <v>176</v>
      </c>
      <c r="F16" s="2">
        <v>-1.7</v>
      </c>
      <c r="G16" s="2">
        <v>7.7</v>
      </c>
      <c r="H16" s="2">
        <v>7.7</v>
      </c>
      <c r="I16" s="2">
        <v>27.1</v>
      </c>
    </row>
    <row r="17" spans="1:9" ht="12">
      <c r="A17" s="74" t="s">
        <v>8</v>
      </c>
      <c r="B17" s="96" t="s">
        <v>11</v>
      </c>
      <c r="C17" s="74"/>
      <c r="D17" s="19" t="s">
        <v>149</v>
      </c>
      <c r="E17" s="19" t="s">
        <v>149</v>
      </c>
      <c r="F17" s="1">
        <v>617</v>
      </c>
      <c r="G17" s="1">
        <v>715</v>
      </c>
      <c r="H17" s="1">
        <v>722</v>
      </c>
      <c r="I17" s="1">
        <v>956</v>
      </c>
    </row>
    <row r="18" spans="1:9" ht="12">
      <c r="A18" s="74" t="s">
        <v>8</v>
      </c>
      <c r="B18" s="96" t="s">
        <v>11</v>
      </c>
      <c r="C18" s="74" t="s">
        <v>181</v>
      </c>
      <c r="D18" s="19" t="s">
        <v>21</v>
      </c>
      <c r="E18" s="19" t="s">
        <v>21</v>
      </c>
      <c r="F18" s="1">
        <v>10904</v>
      </c>
      <c r="G18" s="1">
        <v>10787</v>
      </c>
      <c r="H18" s="1">
        <v>10360</v>
      </c>
      <c r="I18" s="1">
        <v>10230</v>
      </c>
    </row>
    <row r="19" spans="1:5" ht="12">
      <c r="A19" s="74" t="s">
        <v>10</v>
      </c>
      <c r="B19" s="74"/>
      <c r="C19" s="74"/>
      <c r="D19" s="19"/>
      <c r="E19" s="19"/>
    </row>
    <row r="20" spans="1:5" ht="12">
      <c r="A20" s="74" t="s">
        <v>16</v>
      </c>
      <c r="D20" s="231" t="s">
        <v>210</v>
      </c>
      <c r="E20" s="231" t="s">
        <v>210</v>
      </c>
    </row>
    <row r="21" spans="1:5" ht="12">
      <c r="A21" s="74" t="s">
        <v>10</v>
      </c>
      <c r="B21" s="17"/>
      <c r="C21" s="17"/>
      <c r="D21" s="17"/>
      <c r="E21" s="17"/>
    </row>
    <row r="22" spans="1:11" s="17" customFormat="1" ht="137.25">
      <c r="A22" s="74" t="s">
        <v>619</v>
      </c>
      <c r="E22" s="63" t="s">
        <v>620</v>
      </c>
      <c r="F22" s="57"/>
      <c r="G22" s="57"/>
      <c r="H22" s="57"/>
      <c r="I22" s="57"/>
      <c r="J22" s="57"/>
      <c r="K22" s="57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L44"/>
  <sheetViews>
    <sheetView zoomScale="90" zoomScaleNormal="90" zoomScalePageLayoutView="0" workbookViewId="0" topLeftCell="A1">
      <selection activeCell="B41" sqref="B41"/>
    </sheetView>
  </sheetViews>
  <sheetFormatPr defaultColWidth="9.140625" defaultRowHeight="12.75"/>
  <cols>
    <col min="1" max="1" width="10.7109375" style="0" customWidth="1"/>
    <col min="2" max="2" width="15.7109375" style="0" customWidth="1"/>
    <col min="3" max="3" width="49.28125" style="0" customWidth="1"/>
    <col min="4" max="4" width="26.421875" style="0" customWidth="1"/>
    <col min="5" max="5" width="69.8515625" style="0" customWidth="1"/>
  </cols>
  <sheetData>
    <row r="1" spans="2:4" ht="18">
      <c r="B1" s="50" t="s">
        <v>140</v>
      </c>
      <c r="C1" s="50" t="s">
        <v>140</v>
      </c>
      <c r="D1" s="132"/>
    </row>
    <row r="2" ht="12">
      <c r="C2" t="s">
        <v>141</v>
      </c>
    </row>
    <row r="3" ht="12.75">
      <c r="C3" s="14" t="s">
        <v>27</v>
      </c>
    </row>
    <row r="4" ht="12.75">
      <c r="C4" s="14"/>
    </row>
    <row r="5" spans="4:8" ht="12">
      <c r="D5" s="47" t="s">
        <v>158</v>
      </c>
      <c r="H5" s="17"/>
    </row>
    <row r="6" spans="3:12" ht="12.75">
      <c r="C6" s="25" t="s">
        <v>142</v>
      </c>
      <c r="D6">
        <v>2017</v>
      </c>
      <c r="G6" s="234"/>
      <c r="H6" s="234"/>
      <c r="I6" s="234"/>
      <c r="J6" s="234"/>
      <c r="K6" s="234"/>
      <c r="L6" s="234"/>
    </row>
    <row r="7" spans="3:12" ht="12">
      <c r="C7" s="17" t="s">
        <v>573</v>
      </c>
      <c r="D7">
        <v>2017</v>
      </c>
      <c r="G7" s="234"/>
      <c r="H7" s="234"/>
      <c r="I7" s="234"/>
      <c r="J7" s="234"/>
      <c r="K7" s="234"/>
      <c r="L7" s="234"/>
    </row>
    <row r="8" spans="3:12" ht="12">
      <c r="C8" t="s">
        <v>150</v>
      </c>
      <c r="D8">
        <v>2017</v>
      </c>
      <c r="G8" s="234"/>
      <c r="H8" s="234"/>
      <c r="I8" s="234"/>
      <c r="J8" s="234"/>
      <c r="K8" s="234"/>
      <c r="L8" s="234"/>
    </row>
    <row r="9" spans="3:12" ht="12">
      <c r="C9" s="17" t="s">
        <v>565</v>
      </c>
      <c r="D9">
        <v>2017</v>
      </c>
      <c r="G9" s="234"/>
      <c r="H9" s="234"/>
      <c r="I9" s="234"/>
      <c r="J9" s="234"/>
      <c r="K9" s="234"/>
      <c r="L9" s="234"/>
    </row>
    <row r="10" spans="3:12" ht="12">
      <c r="C10" t="s">
        <v>143</v>
      </c>
      <c r="D10">
        <v>2017</v>
      </c>
      <c r="G10" s="234"/>
      <c r="H10" s="234"/>
      <c r="I10" s="234"/>
      <c r="J10" s="234"/>
      <c r="K10" s="234"/>
      <c r="L10" s="234"/>
    </row>
    <row r="11" spans="3:12" ht="12">
      <c r="C11" t="s">
        <v>567</v>
      </c>
      <c r="D11">
        <v>2018</v>
      </c>
      <c r="G11" s="234"/>
      <c r="H11" s="234"/>
      <c r="I11" s="234"/>
      <c r="J11" s="234"/>
      <c r="K11" s="234"/>
      <c r="L11" s="234"/>
    </row>
    <row r="12" spans="3:12" ht="12">
      <c r="C12" t="s">
        <v>568</v>
      </c>
      <c r="D12">
        <v>2018</v>
      </c>
      <c r="G12" s="234"/>
      <c r="H12" s="234"/>
      <c r="I12" s="234"/>
      <c r="J12" s="234"/>
      <c r="K12" s="234"/>
      <c r="L12" s="234"/>
    </row>
    <row r="13" spans="3:12" ht="12">
      <c r="C13" s="17" t="s">
        <v>569</v>
      </c>
      <c r="D13">
        <v>2018</v>
      </c>
      <c r="G13" s="234"/>
      <c r="H13" s="234"/>
      <c r="I13" s="234"/>
      <c r="J13" s="234"/>
      <c r="K13" s="234"/>
      <c r="L13" s="234"/>
    </row>
    <row r="14" spans="3:12" ht="12">
      <c r="C14" s="17" t="s">
        <v>570</v>
      </c>
      <c r="D14">
        <v>2018</v>
      </c>
      <c r="G14" s="234"/>
      <c r="H14" s="234"/>
      <c r="I14" s="234"/>
      <c r="J14" s="234"/>
      <c r="K14" s="234"/>
      <c r="L14" s="234"/>
    </row>
    <row r="15" spans="3:12" ht="12">
      <c r="C15" s="17" t="s">
        <v>571</v>
      </c>
      <c r="D15">
        <v>2018</v>
      </c>
      <c r="G15" s="234"/>
      <c r="H15" s="234"/>
      <c r="I15" s="234"/>
      <c r="J15" s="234"/>
      <c r="K15" s="234"/>
      <c r="L15" s="234"/>
    </row>
    <row r="16" spans="3:12" ht="12">
      <c r="C16" s="17" t="s">
        <v>144</v>
      </c>
      <c r="D16">
        <v>2017</v>
      </c>
      <c r="G16" s="234"/>
      <c r="H16" s="234"/>
      <c r="I16" s="234"/>
      <c r="J16" s="234"/>
      <c r="K16" s="234"/>
      <c r="L16" s="234"/>
    </row>
    <row r="17" spans="3:12" ht="12">
      <c r="C17" s="17"/>
      <c r="G17" s="234"/>
      <c r="H17" s="234"/>
      <c r="I17" s="234"/>
      <c r="J17" s="234"/>
      <c r="K17" s="234"/>
      <c r="L17" s="234"/>
    </row>
    <row r="18" spans="3:12" ht="12.75">
      <c r="C18" s="25" t="s">
        <v>145</v>
      </c>
      <c r="G18" s="234"/>
      <c r="H18" s="234"/>
      <c r="I18" s="234"/>
      <c r="J18" s="234"/>
      <c r="K18" s="234"/>
      <c r="L18" s="234"/>
    </row>
    <row r="19" spans="3:12" ht="12">
      <c r="C19" t="s">
        <v>564</v>
      </c>
      <c r="D19">
        <v>2014</v>
      </c>
      <c r="G19" s="234"/>
      <c r="H19" s="234"/>
      <c r="I19" s="234"/>
      <c r="J19" s="234"/>
      <c r="K19" s="234"/>
      <c r="L19" s="234"/>
    </row>
    <row r="20" spans="3:12" ht="12">
      <c r="C20" s="17" t="s">
        <v>151</v>
      </c>
      <c r="D20">
        <v>2014</v>
      </c>
      <c r="G20" s="234"/>
      <c r="H20" s="234"/>
      <c r="I20" s="234"/>
      <c r="J20" s="234"/>
      <c r="K20" s="234"/>
      <c r="L20" s="234"/>
    </row>
    <row r="21" spans="3:12" ht="12">
      <c r="C21" s="17" t="s">
        <v>566</v>
      </c>
      <c r="D21">
        <v>2014</v>
      </c>
      <c r="G21" s="234"/>
      <c r="H21" s="234"/>
      <c r="I21" s="234"/>
      <c r="J21" s="234"/>
      <c r="K21" s="234"/>
      <c r="L21" s="234"/>
    </row>
    <row r="22" spans="3:4" ht="12">
      <c r="C22" t="s">
        <v>146</v>
      </c>
      <c r="D22" s="17">
        <v>2014</v>
      </c>
    </row>
    <row r="23" spans="3:4" ht="12">
      <c r="C23" s="17" t="s">
        <v>560</v>
      </c>
      <c r="D23">
        <v>2016</v>
      </c>
    </row>
    <row r="24" spans="3:4" ht="12">
      <c r="C24" t="s">
        <v>561</v>
      </c>
      <c r="D24">
        <v>2016</v>
      </c>
    </row>
    <row r="25" spans="3:4" ht="12">
      <c r="C25" s="17" t="s">
        <v>562</v>
      </c>
      <c r="D25">
        <v>2016</v>
      </c>
    </row>
    <row r="26" spans="3:10" ht="12">
      <c r="C26" s="17" t="s">
        <v>563</v>
      </c>
      <c r="D26">
        <v>2016</v>
      </c>
      <c r="H26" s="233"/>
      <c r="I26" s="233"/>
      <c r="J26" s="233"/>
    </row>
    <row r="27" spans="3:4" ht="12">
      <c r="C27" s="17" t="s">
        <v>153</v>
      </c>
      <c r="D27">
        <v>2016</v>
      </c>
    </row>
    <row r="28" spans="3:4" ht="12">
      <c r="C28" s="17" t="s">
        <v>110</v>
      </c>
      <c r="D28">
        <v>2014</v>
      </c>
    </row>
    <row r="29" spans="3:4" ht="12">
      <c r="C29" t="s">
        <v>147</v>
      </c>
      <c r="D29">
        <v>2014</v>
      </c>
    </row>
    <row r="30" spans="3:4" ht="12">
      <c r="C30" t="s">
        <v>152</v>
      </c>
      <c r="D30">
        <v>2014</v>
      </c>
    </row>
    <row r="31" spans="3:4" ht="12">
      <c r="C31" t="s">
        <v>572</v>
      </c>
      <c r="D31">
        <v>2014</v>
      </c>
    </row>
    <row r="32" ht="12">
      <c r="C32" s="17"/>
    </row>
    <row r="33" ht="12">
      <c r="C33" s="17" t="s">
        <v>148</v>
      </c>
    </row>
    <row r="34" spans="3:4" ht="12">
      <c r="C34" t="s">
        <v>167</v>
      </c>
      <c r="D34">
        <v>2014</v>
      </c>
    </row>
    <row r="35" spans="3:4" ht="12">
      <c r="C35" s="17" t="s">
        <v>130</v>
      </c>
      <c r="D35">
        <v>2014</v>
      </c>
    </row>
    <row r="36" spans="3:4" ht="12">
      <c r="C36" s="17" t="s">
        <v>157</v>
      </c>
      <c r="D36">
        <v>2020</v>
      </c>
    </row>
    <row r="37" spans="4:6" ht="12">
      <c r="D37" s="17"/>
      <c r="F37" s="17"/>
    </row>
    <row r="38" ht="12">
      <c r="D38" s="17"/>
    </row>
    <row r="39" ht="12.75">
      <c r="C39" s="25"/>
    </row>
    <row r="41" ht="14.25" customHeight="1"/>
    <row r="42" ht="12.75">
      <c r="C42" s="25"/>
    </row>
    <row r="43" ht="12">
      <c r="C43" s="7"/>
    </row>
    <row r="44" ht="12">
      <c r="C44" s="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Blad20">
    <pageSetUpPr fitToPage="1"/>
  </sheetPr>
  <dimension ref="A1:K23"/>
  <sheetViews>
    <sheetView zoomScalePageLayoutView="0" workbookViewId="0" topLeftCell="A10">
      <selection activeCell="A23" sqref="A23:IV23"/>
    </sheetView>
  </sheetViews>
  <sheetFormatPr defaultColWidth="9.140625" defaultRowHeight="12.75"/>
  <cols>
    <col min="1" max="1" width="11.28125" style="69" bestFit="1" customWidth="1"/>
    <col min="2" max="2" width="12.28125" style="0" bestFit="1" customWidth="1"/>
    <col min="3" max="3" width="11.28125" style="0" bestFit="1" customWidth="1"/>
    <col min="4" max="4" width="28.421875" style="0" hidden="1" customWidth="1"/>
    <col min="5" max="5" width="35.7109375" style="0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2.75">
      <c r="A4" s="69" t="s">
        <v>6</v>
      </c>
      <c r="B4" s="33" t="s">
        <v>33</v>
      </c>
      <c r="C4" s="17"/>
      <c r="D4" s="53" t="s">
        <v>202</v>
      </c>
      <c r="E4" s="53" t="s">
        <v>202</v>
      </c>
    </row>
    <row r="5" spans="1:5" ht="12.75">
      <c r="A5" s="74"/>
      <c r="B5" s="33" t="s">
        <v>35</v>
      </c>
      <c r="C5" s="39" t="s">
        <v>139</v>
      </c>
      <c r="D5" s="44"/>
      <c r="E5" s="44"/>
    </row>
    <row r="6" spans="1:9" ht="15">
      <c r="A6" s="70" t="s">
        <v>7</v>
      </c>
      <c r="B6" s="42" t="s">
        <v>34</v>
      </c>
      <c r="C6" s="39" t="s">
        <v>139</v>
      </c>
      <c r="D6" s="51" t="s">
        <v>138</v>
      </c>
      <c r="E6" s="51" t="s">
        <v>138</v>
      </c>
      <c r="F6" s="31">
        <v>2016</v>
      </c>
      <c r="G6" s="31" t="s">
        <v>205</v>
      </c>
      <c r="H6" s="31">
        <v>2018</v>
      </c>
      <c r="I6" s="31">
        <v>2019</v>
      </c>
    </row>
    <row r="7" spans="1:5" s="14" customFormat="1" ht="12.75">
      <c r="A7" s="77" t="s">
        <v>177</v>
      </c>
      <c r="B7" s="77"/>
      <c r="C7" s="77"/>
      <c r="D7" s="14" t="s">
        <v>3</v>
      </c>
      <c r="E7" s="14" t="s">
        <v>3</v>
      </c>
    </row>
    <row r="8" spans="1:10" ht="12">
      <c r="A8" s="74" t="s">
        <v>8</v>
      </c>
      <c r="B8" s="96" t="s">
        <v>11</v>
      </c>
      <c r="C8" s="74"/>
      <c r="D8" s="19" t="s">
        <v>116</v>
      </c>
      <c r="E8" s="19" t="s">
        <v>116</v>
      </c>
      <c r="F8" s="1">
        <v>13833</v>
      </c>
      <c r="G8" s="1">
        <v>13457</v>
      </c>
      <c r="H8" s="1">
        <v>14375</v>
      </c>
      <c r="I8" s="1">
        <v>14954</v>
      </c>
      <c r="J8" s="131"/>
    </row>
    <row r="9" spans="1:10" ht="12">
      <c r="A9" s="74" t="s">
        <v>8</v>
      </c>
      <c r="B9" s="96" t="s">
        <v>11</v>
      </c>
      <c r="C9" s="74" t="s">
        <v>168</v>
      </c>
      <c r="D9" s="19" t="s">
        <v>172</v>
      </c>
      <c r="E9" s="19" t="s">
        <v>172</v>
      </c>
      <c r="F9" s="2"/>
      <c r="G9" s="2"/>
      <c r="H9" s="2">
        <v>4.2</v>
      </c>
      <c r="I9" s="2">
        <v>-1.3</v>
      </c>
      <c r="J9" s="131"/>
    </row>
    <row r="10" spans="1:10" ht="12">
      <c r="A10" s="74" t="s">
        <v>8</v>
      </c>
      <c r="B10" s="96" t="s">
        <v>11</v>
      </c>
      <c r="C10" s="74" t="s">
        <v>168</v>
      </c>
      <c r="D10" s="19" t="s">
        <v>173</v>
      </c>
      <c r="E10" s="19" t="s">
        <v>173</v>
      </c>
      <c r="F10" s="2"/>
      <c r="G10" s="2"/>
      <c r="H10" s="2">
        <v>0.9</v>
      </c>
      <c r="I10" s="2">
        <v>0.1</v>
      </c>
      <c r="J10" s="131"/>
    </row>
    <row r="11" spans="1:10" ht="12">
      <c r="A11" s="74" t="s">
        <v>8</v>
      </c>
      <c r="B11" s="96" t="s">
        <v>11</v>
      </c>
      <c r="C11" s="74"/>
      <c r="D11" s="19" t="s">
        <v>118</v>
      </c>
      <c r="E11" s="19" t="s">
        <v>118</v>
      </c>
      <c r="F11" s="60">
        <v>673</v>
      </c>
      <c r="G11" s="60">
        <v>1077</v>
      </c>
      <c r="H11" s="60">
        <v>979</v>
      </c>
      <c r="I11" s="60">
        <v>446</v>
      </c>
      <c r="J11" s="131"/>
    </row>
    <row r="12" spans="1:10" ht="12">
      <c r="A12" s="74" t="s">
        <v>8</v>
      </c>
      <c r="B12" s="96" t="s">
        <v>11</v>
      </c>
      <c r="C12" s="74" t="s">
        <v>168</v>
      </c>
      <c r="D12" s="19" t="s">
        <v>169</v>
      </c>
      <c r="E12" s="19" t="s">
        <v>169</v>
      </c>
      <c r="F12" s="61">
        <v>4.9</v>
      </c>
      <c r="G12" s="61">
        <v>8</v>
      </c>
      <c r="H12" s="61">
        <v>6.8</v>
      </c>
      <c r="I12" s="61">
        <v>3</v>
      </c>
      <c r="J12" s="131"/>
    </row>
    <row r="13" spans="1:9" ht="14.25">
      <c r="A13" s="74" t="s">
        <v>8</v>
      </c>
      <c r="B13" s="96" t="s">
        <v>11</v>
      </c>
      <c r="C13" s="74"/>
      <c r="D13" s="19" t="s">
        <v>211</v>
      </c>
      <c r="E13" s="19" t="s">
        <v>211</v>
      </c>
      <c r="F13" s="60">
        <v>673</v>
      </c>
      <c r="G13" s="60">
        <v>1077</v>
      </c>
      <c r="H13" s="60">
        <v>979</v>
      </c>
      <c r="I13" s="60">
        <v>844</v>
      </c>
    </row>
    <row r="14" spans="1:9" ht="14.25">
      <c r="A14" s="74" t="s">
        <v>8</v>
      </c>
      <c r="B14" s="235" t="s">
        <v>237</v>
      </c>
      <c r="C14" s="74" t="s">
        <v>168</v>
      </c>
      <c r="D14" s="97" t="s">
        <v>206</v>
      </c>
      <c r="E14" s="97" t="s">
        <v>206</v>
      </c>
      <c r="F14" s="61">
        <v>4.9</v>
      </c>
      <c r="G14" s="61">
        <v>8</v>
      </c>
      <c r="H14" s="61">
        <v>6.8</v>
      </c>
      <c r="I14" s="61">
        <v>5.6</v>
      </c>
    </row>
    <row r="15" spans="1:10" ht="12">
      <c r="A15" s="74" t="s">
        <v>8</v>
      </c>
      <c r="B15" s="96" t="s">
        <v>11</v>
      </c>
      <c r="C15" s="74"/>
      <c r="D15" s="19" t="s">
        <v>123</v>
      </c>
      <c r="E15" s="19" t="s">
        <v>123</v>
      </c>
      <c r="F15" s="1">
        <v>2863</v>
      </c>
      <c r="G15" s="1">
        <v>4784</v>
      </c>
      <c r="H15" s="1">
        <v>5223</v>
      </c>
      <c r="I15" s="1">
        <v>6062</v>
      </c>
      <c r="J15" s="131"/>
    </row>
    <row r="16" spans="1:10" ht="12">
      <c r="A16" s="74" t="s">
        <v>8</v>
      </c>
      <c r="B16" s="96" t="s">
        <v>11</v>
      </c>
      <c r="C16" s="74" t="s">
        <v>168</v>
      </c>
      <c r="D16" s="19" t="s">
        <v>176</v>
      </c>
      <c r="E16" s="19" t="s">
        <v>176</v>
      </c>
      <c r="F16" s="2">
        <v>17.4</v>
      </c>
      <c r="G16" s="2">
        <v>23.8</v>
      </c>
      <c r="H16" s="2">
        <v>19.2</v>
      </c>
      <c r="I16" s="2">
        <v>7.4</v>
      </c>
      <c r="J16" s="131"/>
    </row>
    <row r="17" spans="1:10" ht="12">
      <c r="A17" s="74" t="s">
        <v>8</v>
      </c>
      <c r="B17" s="96" t="s">
        <v>11</v>
      </c>
      <c r="C17" s="74"/>
      <c r="D17" s="19" t="s">
        <v>149</v>
      </c>
      <c r="E17" s="19" t="s">
        <v>149</v>
      </c>
      <c r="F17" s="1">
        <v>358</v>
      </c>
      <c r="G17" s="1">
        <v>511</v>
      </c>
      <c r="H17" s="1">
        <v>505</v>
      </c>
      <c r="I17" s="1">
        <v>456</v>
      </c>
      <c r="J17" s="131"/>
    </row>
    <row r="18" spans="1:10" ht="12">
      <c r="A18" s="74" t="s">
        <v>8</v>
      </c>
      <c r="B18" s="96" t="s">
        <v>11</v>
      </c>
      <c r="C18" s="74" t="s">
        <v>181</v>
      </c>
      <c r="D18" s="19" t="s">
        <v>21</v>
      </c>
      <c r="E18" s="19" t="s">
        <v>21</v>
      </c>
      <c r="F18" s="1">
        <v>7306</v>
      </c>
      <c r="G18" s="1">
        <v>7812</v>
      </c>
      <c r="H18" s="1">
        <v>7829</v>
      </c>
      <c r="I18" s="1">
        <v>7919</v>
      </c>
      <c r="J18" s="131"/>
    </row>
    <row r="19" spans="1:3" ht="12">
      <c r="A19" s="74" t="s">
        <v>10</v>
      </c>
      <c r="B19" s="74"/>
      <c r="C19" s="74"/>
    </row>
    <row r="20" spans="1:5" ht="12">
      <c r="A20" s="74" t="s">
        <v>16</v>
      </c>
      <c r="D20" s="17" t="s">
        <v>207</v>
      </c>
      <c r="E20" s="17" t="s">
        <v>207</v>
      </c>
    </row>
    <row r="21" spans="1:5" ht="12">
      <c r="A21" s="74" t="s">
        <v>16</v>
      </c>
      <c r="D21" s="231" t="s">
        <v>210</v>
      </c>
      <c r="E21" s="231" t="s">
        <v>210</v>
      </c>
    </row>
    <row r="22" spans="1:5" ht="12">
      <c r="A22" s="74" t="s">
        <v>10</v>
      </c>
      <c r="B22" s="17"/>
      <c r="C22" s="17"/>
      <c r="D22" s="17"/>
      <c r="E22" s="17"/>
    </row>
    <row r="23" spans="1:11" s="17" customFormat="1" ht="137.25">
      <c r="A23" s="74" t="s">
        <v>619</v>
      </c>
      <c r="E23" s="63" t="s">
        <v>620</v>
      </c>
      <c r="F23" s="57"/>
      <c r="G23" s="57"/>
      <c r="H23" s="57"/>
      <c r="I23" s="57"/>
      <c r="J23" s="57"/>
      <c r="K23" s="57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21">
    <pageSetUpPr fitToPage="1"/>
  </sheetPr>
  <dimension ref="A1:K22"/>
  <sheetViews>
    <sheetView zoomScalePageLayoutView="0" workbookViewId="0" topLeftCell="A1">
      <selection activeCell="A22" sqref="A22:IV22"/>
    </sheetView>
  </sheetViews>
  <sheetFormatPr defaultColWidth="9.140625" defaultRowHeight="12.75"/>
  <cols>
    <col min="1" max="1" width="11.28125" style="69" bestFit="1" customWidth="1"/>
    <col min="2" max="2" width="12.28125" style="0" bestFit="1" customWidth="1"/>
    <col min="3" max="3" width="11.28125" style="0" bestFit="1" customWidth="1"/>
    <col min="4" max="4" width="23.421875" style="0" hidden="1" customWidth="1"/>
    <col min="5" max="5" width="44.28125" style="0" bestFit="1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2.75">
      <c r="A4" s="69" t="s">
        <v>6</v>
      </c>
      <c r="B4" s="33" t="s">
        <v>33</v>
      </c>
      <c r="C4" s="17"/>
      <c r="D4" s="53" t="s">
        <v>578</v>
      </c>
      <c r="E4" s="53" t="s">
        <v>578</v>
      </c>
    </row>
    <row r="5" spans="2:5" ht="12.75">
      <c r="B5" s="33" t="s">
        <v>35</v>
      </c>
      <c r="C5" s="39" t="s">
        <v>139</v>
      </c>
      <c r="D5" s="44"/>
      <c r="E5" s="44"/>
    </row>
    <row r="6" spans="1:9" ht="12.75">
      <c r="A6" s="70" t="s">
        <v>7</v>
      </c>
      <c r="B6" s="42" t="s">
        <v>34</v>
      </c>
      <c r="C6" s="39" t="s">
        <v>139</v>
      </c>
      <c r="D6" s="51" t="s">
        <v>138</v>
      </c>
      <c r="E6" s="51" t="s">
        <v>138</v>
      </c>
      <c r="F6" s="31">
        <v>2016</v>
      </c>
      <c r="G6" s="31">
        <v>2017</v>
      </c>
      <c r="H6" s="31">
        <v>2018</v>
      </c>
      <c r="I6" s="31">
        <v>2019</v>
      </c>
    </row>
    <row r="7" spans="1:5" s="14" customFormat="1" ht="12.75">
      <c r="A7" s="77" t="s">
        <v>177</v>
      </c>
      <c r="B7" s="77"/>
      <c r="C7" s="77"/>
      <c r="D7" s="14" t="s">
        <v>3</v>
      </c>
      <c r="E7" s="14" t="s">
        <v>3</v>
      </c>
    </row>
    <row r="8" spans="1:9" ht="12">
      <c r="A8" s="74" t="s">
        <v>8</v>
      </c>
      <c r="B8" s="96" t="s">
        <v>11</v>
      </c>
      <c r="C8" s="74"/>
      <c r="D8" s="19" t="s">
        <v>116</v>
      </c>
      <c r="E8" s="19" t="s">
        <v>116</v>
      </c>
      <c r="F8" s="1">
        <v>6865</v>
      </c>
      <c r="G8" s="1">
        <v>7723.23577</v>
      </c>
      <c r="H8" s="1">
        <v>8666</v>
      </c>
      <c r="I8" s="1">
        <v>9281</v>
      </c>
    </row>
    <row r="9" spans="1:9" ht="12">
      <c r="A9" s="74" t="s">
        <v>8</v>
      </c>
      <c r="B9" s="96" t="s">
        <v>11</v>
      </c>
      <c r="C9" s="74" t="s">
        <v>168</v>
      </c>
      <c r="D9" s="19" t="s">
        <v>172</v>
      </c>
      <c r="E9" s="19" t="s">
        <v>172</v>
      </c>
      <c r="F9" s="2">
        <v>4.4</v>
      </c>
      <c r="G9" s="2">
        <v>5.6</v>
      </c>
      <c r="H9" s="2">
        <v>3.5</v>
      </c>
      <c r="I9" s="2">
        <v>-0.3</v>
      </c>
    </row>
    <row r="10" spans="1:9" ht="12">
      <c r="A10" s="74" t="s">
        <v>8</v>
      </c>
      <c r="B10" s="96" t="s">
        <v>11</v>
      </c>
      <c r="C10" s="74" t="s">
        <v>168</v>
      </c>
      <c r="D10" s="19" t="s">
        <v>173</v>
      </c>
      <c r="E10" s="19" t="s">
        <v>173</v>
      </c>
      <c r="F10" s="2">
        <v>0.6</v>
      </c>
      <c r="G10" s="2">
        <v>6.6</v>
      </c>
      <c r="H10" s="2">
        <v>4.7</v>
      </c>
      <c r="I10" s="2">
        <v>4</v>
      </c>
    </row>
    <row r="11" spans="1:9" ht="12">
      <c r="A11" s="74" t="s">
        <v>8</v>
      </c>
      <c r="B11" s="96" t="s">
        <v>11</v>
      </c>
      <c r="C11" s="74"/>
      <c r="D11" s="19" t="s">
        <v>118</v>
      </c>
      <c r="E11" s="19" t="s">
        <v>118</v>
      </c>
      <c r="F11" s="1">
        <v>954</v>
      </c>
      <c r="G11" s="1">
        <v>1054.26</v>
      </c>
      <c r="H11" s="1">
        <v>1134</v>
      </c>
      <c r="I11" s="1">
        <v>991</v>
      </c>
    </row>
    <row r="12" spans="1:9" ht="12">
      <c r="A12" s="74" t="s">
        <v>8</v>
      </c>
      <c r="B12" s="96" t="s">
        <v>11</v>
      </c>
      <c r="C12" s="74" t="s">
        <v>168</v>
      </c>
      <c r="D12" s="19" t="s">
        <v>169</v>
      </c>
      <c r="E12" s="19" t="s">
        <v>169</v>
      </c>
      <c r="F12" s="2">
        <v>13.896576839038602</v>
      </c>
      <c r="G12" s="2">
        <v>13.65049613136438</v>
      </c>
      <c r="H12" s="2">
        <v>13.1</v>
      </c>
      <c r="I12" s="2">
        <v>10.7</v>
      </c>
    </row>
    <row r="13" spans="1:9" ht="14.25">
      <c r="A13" s="74" t="s">
        <v>8</v>
      </c>
      <c r="B13" s="96" t="s">
        <v>11</v>
      </c>
      <c r="C13" s="74"/>
      <c r="D13" s="19" t="s">
        <v>211</v>
      </c>
      <c r="E13" s="19" t="s">
        <v>211</v>
      </c>
      <c r="F13" s="1">
        <v>954</v>
      </c>
      <c r="G13" s="1">
        <v>1054.26</v>
      </c>
      <c r="H13" s="1">
        <v>1134</v>
      </c>
      <c r="I13" s="1">
        <v>1113</v>
      </c>
    </row>
    <row r="14" spans="1:9" ht="14.25">
      <c r="A14" s="74" t="s">
        <v>8</v>
      </c>
      <c r="B14" s="235" t="s">
        <v>237</v>
      </c>
      <c r="C14" s="74" t="s">
        <v>168</v>
      </c>
      <c r="D14" s="97" t="s">
        <v>206</v>
      </c>
      <c r="E14" s="97" t="s">
        <v>206</v>
      </c>
      <c r="F14" s="2">
        <v>13.896576839038602</v>
      </c>
      <c r="G14" s="2">
        <v>13.65049613136438</v>
      </c>
      <c r="H14" s="2">
        <v>13.1</v>
      </c>
      <c r="I14" s="2">
        <v>12</v>
      </c>
    </row>
    <row r="15" spans="1:9" ht="12">
      <c r="A15" s="74" t="s">
        <v>8</v>
      </c>
      <c r="B15" s="96" t="s">
        <v>11</v>
      </c>
      <c r="C15" s="74"/>
      <c r="D15" s="19" t="s">
        <v>123</v>
      </c>
      <c r="E15" s="19" t="s">
        <v>123</v>
      </c>
      <c r="F15" s="1">
        <v>843</v>
      </c>
      <c r="G15" s="1">
        <v>1728</v>
      </c>
      <c r="H15" s="1">
        <v>2957</v>
      </c>
      <c r="I15" s="1" t="s">
        <v>611</v>
      </c>
    </row>
    <row r="16" spans="1:10" ht="12">
      <c r="A16" s="74" t="s">
        <v>8</v>
      </c>
      <c r="B16" s="96" t="s">
        <v>11</v>
      </c>
      <c r="C16" s="74" t="s">
        <v>168</v>
      </c>
      <c r="D16" s="19" t="s">
        <v>176</v>
      </c>
      <c r="E16" s="19" t="s">
        <v>176</v>
      </c>
      <c r="F16" s="2">
        <v>108.1</v>
      </c>
      <c r="G16" s="2">
        <v>64.3</v>
      </c>
      <c r="H16" s="2">
        <v>45.9</v>
      </c>
      <c r="I16" s="2" t="s">
        <v>611</v>
      </c>
      <c r="J16" s="17"/>
    </row>
    <row r="17" spans="1:9" ht="12">
      <c r="A17" s="74" t="s">
        <v>8</v>
      </c>
      <c r="B17" s="96" t="s">
        <v>11</v>
      </c>
      <c r="C17" s="74"/>
      <c r="D17" s="19" t="s">
        <v>149</v>
      </c>
      <c r="E17" s="19" t="s">
        <v>149</v>
      </c>
      <c r="F17" s="1">
        <v>124</v>
      </c>
      <c r="G17" s="1">
        <v>167</v>
      </c>
      <c r="H17" s="1">
        <v>169</v>
      </c>
      <c r="I17" s="1">
        <v>257</v>
      </c>
    </row>
    <row r="18" spans="1:9" ht="12">
      <c r="A18" s="74" t="s">
        <v>8</v>
      </c>
      <c r="B18" s="96" t="s">
        <v>11</v>
      </c>
      <c r="C18" s="74" t="s">
        <v>181</v>
      </c>
      <c r="D18" s="19" t="s">
        <v>21</v>
      </c>
      <c r="E18" s="19" t="s">
        <v>21</v>
      </c>
      <c r="F18" s="1">
        <v>2767</v>
      </c>
      <c r="G18" s="1">
        <v>2947</v>
      </c>
      <c r="H18" s="1">
        <v>3166</v>
      </c>
      <c r="I18" s="1">
        <v>3469</v>
      </c>
    </row>
    <row r="19" spans="1:5" ht="12">
      <c r="A19" s="74" t="s">
        <v>10</v>
      </c>
      <c r="B19" s="74"/>
      <c r="C19" s="74"/>
      <c r="D19" s="19"/>
      <c r="E19" s="19"/>
    </row>
    <row r="20" spans="1:5" ht="12">
      <c r="A20" s="74" t="s">
        <v>16</v>
      </c>
      <c r="D20" s="231" t="s">
        <v>210</v>
      </c>
      <c r="E20" s="231" t="s">
        <v>210</v>
      </c>
    </row>
    <row r="21" spans="1:5" ht="12">
      <c r="A21" s="74" t="s">
        <v>10</v>
      </c>
      <c r="B21" s="17"/>
      <c r="C21" s="17"/>
      <c r="D21" s="17"/>
      <c r="E21" s="17"/>
    </row>
    <row r="22" spans="1:11" s="17" customFormat="1" ht="124.5">
      <c r="A22" s="74" t="s">
        <v>619</v>
      </c>
      <c r="E22" s="63" t="s">
        <v>620</v>
      </c>
      <c r="F22" s="57"/>
      <c r="G22" s="57"/>
      <c r="H22" s="57"/>
      <c r="I22" s="57"/>
      <c r="J22" s="57"/>
      <c r="K22" s="57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Blad22">
    <pageSetUpPr fitToPage="1"/>
  </sheetPr>
  <dimension ref="A1:K108"/>
  <sheetViews>
    <sheetView tabSelected="1" zoomScaleSheetLayoutView="100" workbookViewId="0" topLeftCell="A1">
      <selection activeCell="A37" sqref="A37:A40"/>
    </sheetView>
  </sheetViews>
  <sheetFormatPr defaultColWidth="7.28125" defaultRowHeight="12.75"/>
  <cols>
    <col min="1" max="1" width="12.28125" style="74" bestFit="1" customWidth="1"/>
    <col min="2" max="2" width="12.28125" style="7" bestFit="1" customWidth="1"/>
    <col min="3" max="3" width="11.28125" style="7" bestFit="1" customWidth="1"/>
    <col min="4" max="4" width="23.421875" style="7" hidden="1" customWidth="1"/>
    <col min="5" max="5" width="33.8515625" style="7" customWidth="1"/>
    <col min="6" max="6" width="17.7109375" style="7" customWidth="1"/>
    <col min="7" max="16384" width="7.28125" style="7" customWidth="1"/>
  </cols>
  <sheetData>
    <row r="1" spans="1:5" ht="15.75" customHeight="1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5.75" customHeight="1">
      <c r="A2" s="76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5.75" customHeight="1">
      <c r="A3" s="76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5.75" customHeight="1">
      <c r="A4" s="74" t="s">
        <v>6</v>
      </c>
      <c r="B4" s="33" t="s">
        <v>33</v>
      </c>
      <c r="C4" s="23"/>
      <c r="D4" s="30" t="s">
        <v>586</v>
      </c>
      <c r="E4" s="30" t="s">
        <v>586</v>
      </c>
    </row>
    <row r="5" spans="2:5" ht="15.75" customHeight="1">
      <c r="B5" s="33" t="s">
        <v>35</v>
      </c>
      <c r="C5" s="34" t="s">
        <v>139</v>
      </c>
      <c r="D5" s="30"/>
      <c r="E5" s="30"/>
    </row>
    <row r="6" spans="1:6" s="13" customFormat="1" ht="15.75" customHeight="1">
      <c r="A6" s="70" t="s">
        <v>7</v>
      </c>
      <c r="B6" s="42" t="s">
        <v>34</v>
      </c>
      <c r="C6" s="39" t="s">
        <v>139</v>
      </c>
      <c r="D6" s="49"/>
      <c r="E6" s="49"/>
      <c r="F6" s="52">
        <v>2019</v>
      </c>
    </row>
    <row r="7" spans="1:5" s="14" customFormat="1" ht="13.5">
      <c r="A7" s="77" t="s">
        <v>177</v>
      </c>
      <c r="B7" s="82"/>
      <c r="C7" s="82"/>
      <c r="D7" s="14" t="s">
        <v>3</v>
      </c>
      <c r="E7" s="14" t="s">
        <v>3</v>
      </c>
    </row>
    <row r="8" spans="1:5" ht="12.75">
      <c r="A8" s="81" t="s">
        <v>7</v>
      </c>
      <c r="B8" s="74"/>
      <c r="C8" s="74"/>
      <c r="D8" s="24" t="s">
        <v>36</v>
      </c>
      <c r="E8" s="24" t="s">
        <v>36</v>
      </c>
    </row>
    <row r="9" spans="1:6" ht="12">
      <c r="A9" s="74" t="s">
        <v>8</v>
      </c>
      <c r="B9" s="249"/>
      <c r="C9" s="248"/>
      <c r="D9" s="27" t="s">
        <v>39</v>
      </c>
      <c r="E9" s="27" t="s">
        <v>39</v>
      </c>
      <c r="F9" s="243">
        <v>6056.4474242</v>
      </c>
    </row>
    <row r="10" spans="1:6" ht="12">
      <c r="A10" s="74" t="s">
        <v>8</v>
      </c>
      <c r="B10" s="249"/>
      <c r="C10" s="248"/>
      <c r="D10" s="27" t="s">
        <v>42</v>
      </c>
      <c r="E10" s="27" t="s">
        <v>42</v>
      </c>
      <c r="F10" s="243">
        <v>3928.3194428999996</v>
      </c>
    </row>
    <row r="11" spans="1:6" ht="12">
      <c r="A11" s="74" t="s">
        <v>8</v>
      </c>
      <c r="B11" s="249"/>
      <c r="C11" s="248"/>
      <c r="D11" s="27" t="s">
        <v>41</v>
      </c>
      <c r="E11" s="27" t="s">
        <v>41</v>
      </c>
      <c r="F11" s="243">
        <v>3994.632408699999</v>
      </c>
    </row>
    <row r="12" spans="1:6" ht="12">
      <c r="A12" s="74" t="s">
        <v>8</v>
      </c>
      <c r="B12" s="249"/>
      <c r="C12" s="248"/>
      <c r="D12" s="27" t="s">
        <v>37</v>
      </c>
      <c r="E12" s="27" t="s">
        <v>37</v>
      </c>
      <c r="F12" s="243">
        <v>3701.691837</v>
      </c>
    </row>
    <row r="13" spans="1:6" ht="12">
      <c r="A13" s="74" t="s">
        <v>8</v>
      </c>
      <c r="B13" s="249"/>
      <c r="C13" s="248"/>
      <c r="D13" s="27" t="s">
        <v>38</v>
      </c>
      <c r="E13" s="27" t="s">
        <v>38</v>
      </c>
      <c r="F13" s="243">
        <v>3967.8272979999992</v>
      </c>
    </row>
    <row r="14" spans="1:6" ht="12">
      <c r="A14" s="74" t="s">
        <v>8</v>
      </c>
      <c r="B14" s="249"/>
      <c r="C14" s="248"/>
      <c r="D14" s="27" t="s">
        <v>40</v>
      </c>
      <c r="E14" s="27" t="s">
        <v>40</v>
      </c>
      <c r="F14" s="243">
        <v>1504.7618092</v>
      </c>
    </row>
    <row r="15" spans="1:6" ht="12">
      <c r="A15" s="74" t="s">
        <v>8</v>
      </c>
      <c r="B15" s="249"/>
      <c r="C15" s="248"/>
      <c r="D15" s="27" t="s">
        <v>44</v>
      </c>
      <c r="E15" s="27" t="s">
        <v>44</v>
      </c>
      <c r="F15" s="243">
        <v>2868.8629002000002</v>
      </c>
    </row>
    <row r="16" spans="1:6" ht="12">
      <c r="A16" s="74" t="s">
        <v>8</v>
      </c>
      <c r="B16" s="249"/>
      <c r="C16" s="248"/>
      <c r="D16" s="27" t="s">
        <v>47</v>
      </c>
      <c r="E16" s="27" t="s">
        <v>47</v>
      </c>
      <c r="F16" s="243">
        <v>2166.7943376</v>
      </c>
    </row>
    <row r="17" spans="1:6" ht="12">
      <c r="A17" s="74" t="s">
        <v>8</v>
      </c>
      <c r="B17" s="249"/>
      <c r="C17" s="248"/>
      <c r="D17" s="27" t="s">
        <v>50</v>
      </c>
      <c r="E17" s="27" t="s">
        <v>50</v>
      </c>
      <c r="F17" s="243">
        <v>1539.9380363</v>
      </c>
    </row>
    <row r="18" spans="1:6" ht="12">
      <c r="A18" s="74" t="s">
        <v>8</v>
      </c>
      <c r="B18" s="249"/>
      <c r="C18" s="248"/>
      <c r="D18" s="27" t="s">
        <v>43</v>
      </c>
      <c r="E18" s="27" t="s">
        <v>43</v>
      </c>
      <c r="F18" s="243">
        <v>980.4885563000001</v>
      </c>
    </row>
    <row r="19" spans="1:6" ht="12">
      <c r="A19" s="74" t="s">
        <v>8</v>
      </c>
      <c r="B19" s="249"/>
      <c r="C19" s="248"/>
      <c r="D19" s="27" t="s">
        <v>48</v>
      </c>
      <c r="E19" s="27" t="s">
        <v>48</v>
      </c>
      <c r="F19" s="243">
        <v>997.3425396</v>
      </c>
    </row>
    <row r="20" spans="1:6" ht="12">
      <c r="A20" s="74" t="s">
        <v>8</v>
      </c>
      <c r="B20" s="249"/>
      <c r="C20" s="248"/>
      <c r="D20" s="27" t="s">
        <v>45</v>
      </c>
      <c r="E20" s="27" t="s">
        <v>45</v>
      </c>
      <c r="F20" s="243">
        <v>1664.8692749000002</v>
      </c>
    </row>
    <row r="21" spans="1:6" ht="12">
      <c r="A21" s="74" t="s">
        <v>8</v>
      </c>
      <c r="B21" s="249"/>
      <c r="C21" s="248"/>
      <c r="D21" s="27" t="s">
        <v>46</v>
      </c>
      <c r="E21" s="27" t="s">
        <v>46</v>
      </c>
      <c r="F21" s="243">
        <v>891.924808</v>
      </c>
    </row>
    <row r="22" spans="1:6" ht="12">
      <c r="A22" s="74" t="s">
        <v>8</v>
      </c>
      <c r="B22" s="249"/>
      <c r="C22" s="248"/>
      <c r="D22" s="27" t="s">
        <v>51</v>
      </c>
      <c r="E22" s="27" t="s">
        <v>51</v>
      </c>
      <c r="F22" s="243">
        <v>324.09539369999993</v>
      </c>
    </row>
    <row r="23" spans="1:6" ht="12">
      <c r="A23" s="74" t="s">
        <v>8</v>
      </c>
      <c r="B23" s="249"/>
      <c r="C23" s="248"/>
      <c r="D23" s="27" t="s">
        <v>49</v>
      </c>
      <c r="E23" s="27" t="s">
        <v>49</v>
      </c>
      <c r="F23" s="243">
        <v>268.0880749</v>
      </c>
    </row>
    <row r="24" spans="1:6" ht="12">
      <c r="A24" s="74" t="s">
        <v>8</v>
      </c>
      <c r="B24" s="249"/>
      <c r="C24" s="248"/>
      <c r="D24" s="27" t="s">
        <v>52</v>
      </c>
      <c r="E24" s="27" t="s">
        <v>52</v>
      </c>
      <c r="F24" s="243">
        <v>362.6940698</v>
      </c>
    </row>
    <row r="25" spans="1:6" ht="12">
      <c r="A25" s="74" t="s">
        <v>8</v>
      </c>
      <c r="B25" s="249"/>
      <c r="C25" s="248"/>
      <c r="D25" s="27" t="s">
        <v>53</v>
      </c>
      <c r="E25" s="27" t="s">
        <v>53</v>
      </c>
      <c r="F25" s="243">
        <v>163.0911427</v>
      </c>
    </row>
    <row r="26" spans="1:6" ht="12">
      <c r="A26" s="74" t="s">
        <v>8</v>
      </c>
      <c r="B26" s="249"/>
      <c r="C26" s="248"/>
      <c r="D26" s="27" t="s">
        <v>111</v>
      </c>
      <c r="E26" s="27" t="s">
        <v>111</v>
      </c>
      <c r="F26" s="243">
        <v>51.929505000000006</v>
      </c>
    </row>
    <row r="27" spans="1:6" s="25" customFormat="1" ht="14.25">
      <c r="A27" s="81" t="s">
        <v>1</v>
      </c>
      <c r="B27" s="250"/>
      <c r="C27" s="250"/>
      <c r="D27" s="24" t="s">
        <v>54</v>
      </c>
      <c r="E27" s="24" t="s">
        <v>54</v>
      </c>
      <c r="F27" s="244">
        <f>SUM(F9:F26)</f>
        <v>35433.79885900001</v>
      </c>
    </row>
    <row r="28" spans="1:6" ht="12">
      <c r="A28" s="74" t="s">
        <v>10</v>
      </c>
      <c r="B28" s="248"/>
      <c r="C28" s="248"/>
      <c r="D28" s="27"/>
      <c r="E28" s="27"/>
      <c r="F28" s="17"/>
    </row>
    <row r="29" spans="1:6" s="13" customFormat="1" ht="12.75">
      <c r="A29" s="70" t="s">
        <v>7</v>
      </c>
      <c r="B29" s="251"/>
      <c r="C29" s="251"/>
      <c r="D29" s="48" t="s">
        <v>55</v>
      </c>
      <c r="E29" s="48" t="s">
        <v>55</v>
      </c>
      <c r="F29" s="52">
        <v>2019</v>
      </c>
    </row>
    <row r="30" spans="1:6" ht="12">
      <c r="A30" s="74" t="s">
        <v>8</v>
      </c>
      <c r="B30" s="248"/>
      <c r="C30" s="248"/>
      <c r="D30" s="27" t="s">
        <v>58</v>
      </c>
      <c r="E30" s="27" t="s">
        <v>58</v>
      </c>
      <c r="F30" s="243">
        <v>2306.2045980000003</v>
      </c>
    </row>
    <row r="31" spans="1:6" ht="12">
      <c r="A31" s="74" t="s">
        <v>8</v>
      </c>
      <c r="B31" s="248"/>
      <c r="C31" s="248"/>
      <c r="D31" s="27" t="s">
        <v>60</v>
      </c>
      <c r="E31" s="27" t="s">
        <v>60</v>
      </c>
      <c r="F31" s="243">
        <v>2009.3290021999999</v>
      </c>
    </row>
    <row r="32" spans="1:6" ht="12">
      <c r="A32" s="74" t="s">
        <v>8</v>
      </c>
      <c r="B32" s="248"/>
      <c r="C32" s="248"/>
      <c r="D32" s="27" t="s">
        <v>59</v>
      </c>
      <c r="E32" s="27" t="s">
        <v>59</v>
      </c>
      <c r="F32" s="243">
        <v>1188.7535175</v>
      </c>
    </row>
    <row r="33" spans="1:6" ht="12">
      <c r="A33" s="74" t="s">
        <v>8</v>
      </c>
      <c r="B33" s="248"/>
      <c r="C33" s="248"/>
      <c r="D33" s="27" t="s">
        <v>56</v>
      </c>
      <c r="E33" s="27" t="s">
        <v>56</v>
      </c>
      <c r="F33" s="243">
        <v>1035.5398346999998</v>
      </c>
    </row>
    <row r="34" spans="1:6" ht="12">
      <c r="A34" s="74" t="s">
        <v>8</v>
      </c>
      <c r="B34" s="248"/>
      <c r="C34" s="248"/>
      <c r="D34" s="27" t="s">
        <v>62</v>
      </c>
      <c r="E34" s="27" t="s">
        <v>62</v>
      </c>
      <c r="F34" s="243">
        <v>227.2763269</v>
      </c>
    </row>
    <row r="35" spans="1:6" ht="12">
      <c r="A35" s="74" t="s">
        <v>8</v>
      </c>
      <c r="B35" s="248"/>
      <c r="C35" s="248"/>
      <c r="D35" s="27" t="s">
        <v>61</v>
      </c>
      <c r="E35" s="27" t="s">
        <v>61</v>
      </c>
      <c r="F35" s="243">
        <v>623.7086959</v>
      </c>
    </row>
    <row r="36" spans="1:6" ht="12">
      <c r="A36" s="74" t="s">
        <v>8</v>
      </c>
      <c r="B36" s="248"/>
      <c r="C36" s="248"/>
      <c r="D36" s="27" t="s">
        <v>57</v>
      </c>
      <c r="E36" s="27" t="s">
        <v>57</v>
      </c>
      <c r="F36" s="243">
        <v>506.65252890000005</v>
      </c>
    </row>
    <row r="37" spans="1:6" ht="12">
      <c r="A37" s="74" t="s">
        <v>8</v>
      </c>
      <c r="B37" s="248"/>
      <c r="C37" s="248"/>
      <c r="D37" s="27" t="s">
        <v>63</v>
      </c>
      <c r="E37" s="27" t="s">
        <v>63</v>
      </c>
      <c r="F37" s="243">
        <v>482.1971822</v>
      </c>
    </row>
    <row r="38" spans="1:6" ht="12">
      <c r="A38" s="74" t="s">
        <v>8</v>
      </c>
      <c r="B38" s="248"/>
      <c r="C38" s="248"/>
      <c r="D38" s="242" t="s">
        <v>602</v>
      </c>
      <c r="E38" s="242" t="s">
        <v>602</v>
      </c>
      <c r="F38" s="135">
        <v>474.1956702</v>
      </c>
    </row>
    <row r="39" spans="1:6" ht="12">
      <c r="A39" s="74" t="s">
        <v>8</v>
      </c>
      <c r="B39" s="248"/>
      <c r="C39" s="248"/>
      <c r="D39" s="27" t="s">
        <v>65</v>
      </c>
      <c r="E39" s="27" t="s">
        <v>65</v>
      </c>
      <c r="F39" s="243">
        <v>408.7303052</v>
      </c>
    </row>
    <row r="40" spans="1:6" ht="12">
      <c r="A40" s="74" t="s">
        <v>8</v>
      </c>
      <c r="B40" s="248"/>
      <c r="C40" s="248"/>
      <c r="D40" s="27" t="s">
        <v>64</v>
      </c>
      <c r="E40" s="27" t="s">
        <v>64</v>
      </c>
      <c r="F40" s="243">
        <v>203.70036910000002</v>
      </c>
    </row>
    <row r="41" spans="1:6" ht="12">
      <c r="A41" s="74" t="s">
        <v>8</v>
      </c>
      <c r="B41" s="248"/>
      <c r="C41" s="248"/>
      <c r="D41" s="27" t="s">
        <v>18</v>
      </c>
      <c r="E41" s="27" t="s">
        <v>18</v>
      </c>
      <c r="F41" s="243">
        <v>193.7467677</v>
      </c>
    </row>
    <row r="42" spans="1:6" s="25" customFormat="1" ht="14.25">
      <c r="A42" s="81" t="s">
        <v>1</v>
      </c>
      <c r="B42" s="250"/>
      <c r="C42" s="250"/>
      <c r="D42" s="24" t="s">
        <v>66</v>
      </c>
      <c r="E42" s="24" t="s">
        <v>66</v>
      </c>
      <c r="F42" s="244">
        <v>9660.034798500003</v>
      </c>
    </row>
    <row r="43" spans="1:6" s="25" customFormat="1" ht="14.25">
      <c r="A43" s="81" t="s">
        <v>1</v>
      </c>
      <c r="B43" s="250"/>
      <c r="C43" s="250"/>
      <c r="D43" s="24" t="s">
        <v>67</v>
      </c>
      <c r="E43" s="24" t="s">
        <v>67</v>
      </c>
      <c r="F43" s="244">
        <v>45093.833657500014</v>
      </c>
    </row>
    <row r="44" spans="1:6" ht="12">
      <c r="A44" s="74" t="s">
        <v>10</v>
      </c>
      <c r="B44" s="248"/>
      <c r="C44" s="248"/>
      <c r="D44" s="27"/>
      <c r="E44" s="27"/>
      <c r="F44" s="17"/>
    </row>
    <row r="45" spans="1:6" s="13" customFormat="1" ht="12.75">
      <c r="A45" s="70" t="s">
        <v>7</v>
      </c>
      <c r="B45" s="251"/>
      <c r="C45" s="251"/>
      <c r="D45" s="48" t="s">
        <v>68</v>
      </c>
      <c r="E45" s="48" t="s">
        <v>68</v>
      </c>
      <c r="F45" s="52">
        <v>2019</v>
      </c>
    </row>
    <row r="46" spans="1:6" ht="12">
      <c r="A46" s="74" t="s">
        <v>8</v>
      </c>
      <c r="B46" s="248"/>
      <c r="C46" s="248"/>
      <c r="D46" s="27" t="s">
        <v>69</v>
      </c>
      <c r="E46" s="27" t="s">
        <v>69</v>
      </c>
      <c r="F46" s="8">
        <v>35919.62317770001</v>
      </c>
    </row>
    <row r="47" spans="1:6" ht="12">
      <c r="A47" s="74" t="s">
        <v>8</v>
      </c>
      <c r="B47" s="248"/>
      <c r="C47" s="248"/>
      <c r="D47" s="27" t="s">
        <v>70</v>
      </c>
      <c r="E47" s="27" t="s">
        <v>70</v>
      </c>
      <c r="F47" s="8">
        <v>3226.5567340999996</v>
      </c>
    </row>
    <row r="48" spans="1:6" s="25" customFormat="1" ht="12.75">
      <c r="A48" s="81" t="s">
        <v>1</v>
      </c>
      <c r="B48" s="250"/>
      <c r="C48" s="250"/>
      <c r="D48" s="24" t="s">
        <v>71</v>
      </c>
      <c r="E48" s="24" t="s">
        <v>71</v>
      </c>
      <c r="F48" s="26">
        <v>39146.179911800005</v>
      </c>
    </row>
    <row r="49" spans="1:6" ht="12">
      <c r="A49" s="74" t="s">
        <v>10</v>
      </c>
      <c r="B49" s="248"/>
      <c r="C49" s="248"/>
      <c r="D49" s="27"/>
      <c r="E49" s="27"/>
      <c r="F49" s="17"/>
    </row>
    <row r="50" spans="1:6" s="13" customFormat="1" ht="12.75">
      <c r="A50" s="70" t="s">
        <v>7</v>
      </c>
      <c r="B50" s="251"/>
      <c r="C50" s="251"/>
      <c r="D50" s="48" t="s">
        <v>72</v>
      </c>
      <c r="E50" s="48" t="s">
        <v>72</v>
      </c>
      <c r="F50" s="52">
        <v>2019</v>
      </c>
    </row>
    <row r="51" spans="1:6" ht="12">
      <c r="A51" s="74" t="s">
        <v>8</v>
      </c>
      <c r="B51" s="248"/>
      <c r="C51" s="248"/>
      <c r="D51" s="27" t="s">
        <v>73</v>
      </c>
      <c r="E51" s="27" t="s">
        <v>73</v>
      </c>
      <c r="F51" s="243">
        <v>14154.2531132</v>
      </c>
    </row>
    <row r="52" spans="1:6" ht="12">
      <c r="A52" s="74" t="s">
        <v>8</v>
      </c>
      <c r="B52" s="248"/>
      <c r="C52" s="248"/>
      <c r="D52" s="27" t="s">
        <v>74</v>
      </c>
      <c r="E52" s="27" t="s">
        <v>74</v>
      </c>
      <c r="F52" s="243">
        <v>111.12757649999999</v>
      </c>
    </row>
    <row r="53" spans="1:6" ht="12">
      <c r="A53" s="74" t="s">
        <v>8</v>
      </c>
      <c r="B53" s="248"/>
      <c r="C53" s="248"/>
      <c r="D53" s="27" t="s">
        <v>77</v>
      </c>
      <c r="E53" s="27" t="s">
        <v>77</v>
      </c>
      <c r="F53" s="243">
        <v>1206.792852</v>
      </c>
    </row>
    <row r="54" spans="1:6" ht="12">
      <c r="A54" s="74" t="s">
        <v>8</v>
      </c>
      <c r="B54" s="248"/>
      <c r="C54" s="248"/>
      <c r="D54" s="27" t="s">
        <v>76</v>
      </c>
      <c r="E54" s="27" t="s">
        <v>76</v>
      </c>
      <c r="F54" s="243">
        <v>339.7731117</v>
      </c>
    </row>
    <row r="55" spans="1:6" ht="12">
      <c r="A55" s="74" t="s">
        <v>8</v>
      </c>
      <c r="B55" s="248"/>
      <c r="C55" s="248"/>
      <c r="D55" s="27" t="s">
        <v>78</v>
      </c>
      <c r="E55" s="27" t="s">
        <v>78</v>
      </c>
      <c r="F55" s="243">
        <v>235.7085956</v>
      </c>
    </row>
    <row r="56" spans="1:6" ht="12">
      <c r="A56" s="74" t="s">
        <v>8</v>
      </c>
      <c r="B56" s="248"/>
      <c r="C56" s="248"/>
      <c r="D56" s="27" t="s">
        <v>75</v>
      </c>
      <c r="E56" s="27" t="s">
        <v>75</v>
      </c>
      <c r="F56" s="243">
        <v>239.01708539999998</v>
      </c>
    </row>
    <row r="57" spans="1:6" ht="12">
      <c r="A57" s="74" t="s">
        <v>8</v>
      </c>
      <c r="B57" s="248"/>
      <c r="C57" s="248"/>
      <c r="D57" s="27" t="s">
        <v>79</v>
      </c>
      <c r="E57" s="27" t="s">
        <v>79</v>
      </c>
      <c r="F57" s="243">
        <v>20.277236600000002</v>
      </c>
    </row>
    <row r="58" spans="1:6" ht="12">
      <c r="A58" s="74" t="s">
        <v>8</v>
      </c>
      <c r="B58" s="248"/>
      <c r="C58" s="248"/>
      <c r="D58" s="27" t="s">
        <v>81</v>
      </c>
      <c r="E58" s="27" t="s">
        <v>81</v>
      </c>
      <c r="F58" s="243">
        <v>1920.2428892</v>
      </c>
    </row>
    <row r="59" spans="1:6" ht="12">
      <c r="A59" s="74" t="s">
        <v>8</v>
      </c>
      <c r="B59" s="248"/>
      <c r="C59" s="248"/>
      <c r="D59" s="27" t="s">
        <v>80</v>
      </c>
      <c r="E59" s="27" t="s">
        <v>80</v>
      </c>
      <c r="F59" s="243">
        <v>56.9070934</v>
      </c>
    </row>
    <row r="60" spans="1:6" ht="12">
      <c r="A60" s="74" t="s">
        <v>8</v>
      </c>
      <c r="B60" s="248"/>
      <c r="C60" s="248"/>
      <c r="D60" s="27" t="s">
        <v>82</v>
      </c>
      <c r="E60" s="27" t="s">
        <v>82</v>
      </c>
      <c r="F60" s="243">
        <v>54.2107815</v>
      </c>
    </row>
    <row r="61" spans="1:6" ht="12">
      <c r="A61" s="74" t="s">
        <v>8</v>
      </c>
      <c r="B61" s="248"/>
      <c r="C61" s="248"/>
      <c r="D61" s="27" t="s">
        <v>18</v>
      </c>
      <c r="E61" s="27" t="s">
        <v>18</v>
      </c>
      <c r="F61" s="243">
        <v>1257.9812318</v>
      </c>
    </row>
    <row r="62" spans="1:6" s="25" customFormat="1" ht="14.25">
      <c r="A62" s="81" t="s">
        <v>1</v>
      </c>
      <c r="B62" s="250"/>
      <c r="C62" s="250"/>
      <c r="D62" s="24" t="s">
        <v>83</v>
      </c>
      <c r="E62" s="24" t="s">
        <v>83</v>
      </c>
      <c r="F62" s="244">
        <v>19596.291566900003</v>
      </c>
    </row>
    <row r="63" spans="1:6" ht="12">
      <c r="A63" s="74" t="s">
        <v>10</v>
      </c>
      <c r="B63" s="248"/>
      <c r="C63" s="248"/>
      <c r="D63" s="27"/>
      <c r="E63" s="27"/>
      <c r="F63" s="17"/>
    </row>
    <row r="64" spans="1:6" s="13" customFormat="1" ht="12.75">
      <c r="A64" s="70" t="s">
        <v>7</v>
      </c>
      <c r="B64" s="251"/>
      <c r="C64" s="251"/>
      <c r="D64" s="48" t="s">
        <v>84</v>
      </c>
      <c r="E64" s="48" t="s">
        <v>84</v>
      </c>
      <c r="F64" s="52">
        <v>2019</v>
      </c>
    </row>
    <row r="65" spans="1:6" ht="12.75">
      <c r="A65" s="74" t="s">
        <v>7</v>
      </c>
      <c r="B65" s="248"/>
      <c r="C65" s="248"/>
      <c r="D65" s="24" t="s">
        <v>85</v>
      </c>
      <c r="E65" s="24" t="s">
        <v>85</v>
      </c>
      <c r="F65" s="17"/>
    </row>
    <row r="66" spans="1:6" ht="12">
      <c r="A66" s="74" t="s">
        <v>8</v>
      </c>
      <c r="B66" s="248"/>
      <c r="C66" s="248"/>
      <c r="D66" s="27" t="s">
        <v>86</v>
      </c>
      <c r="E66" s="27" t="s">
        <v>86</v>
      </c>
      <c r="F66" s="243">
        <v>403.516442</v>
      </c>
    </row>
    <row r="67" spans="1:6" ht="12">
      <c r="A67" s="74" t="s">
        <v>8</v>
      </c>
      <c r="B67" s="248"/>
      <c r="C67" s="248"/>
      <c r="D67" s="27" t="s">
        <v>90</v>
      </c>
      <c r="E67" s="27" t="s">
        <v>90</v>
      </c>
      <c r="F67" s="243">
        <v>356.2855442999999</v>
      </c>
    </row>
    <row r="68" spans="1:6" ht="12">
      <c r="A68" s="74" t="s">
        <v>8</v>
      </c>
      <c r="B68" s="248"/>
      <c r="C68" s="248"/>
      <c r="D68" s="27" t="s">
        <v>87</v>
      </c>
      <c r="E68" s="27" t="s">
        <v>87</v>
      </c>
      <c r="F68" s="243">
        <v>19.673057799999995</v>
      </c>
    </row>
    <row r="69" spans="1:6" ht="12">
      <c r="A69" s="74" t="s">
        <v>8</v>
      </c>
      <c r="B69" s="248"/>
      <c r="C69" s="248"/>
      <c r="D69" s="27" t="s">
        <v>96</v>
      </c>
      <c r="E69" s="27" t="s">
        <v>96</v>
      </c>
      <c r="F69" s="243">
        <v>742.0085522</v>
      </c>
    </row>
    <row r="70" spans="1:6" ht="12">
      <c r="A70" s="74" t="s">
        <v>8</v>
      </c>
      <c r="B70" s="248"/>
      <c r="C70" s="248"/>
      <c r="D70" s="27" t="s">
        <v>88</v>
      </c>
      <c r="E70" s="27" t="s">
        <v>88</v>
      </c>
      <c r="F70" s="243">
        <v>375.0121087</v>
      </c>
    </row>
    <row r="71" spans="1:6" ht="12">
      <c r="A71" s="74" t="s">
        <v>8</v>
      </c>
      <c r="B71" s="248"/>
      <c r="C71" s="248"/>
      <c r="D71" s="27" t="s">
        <v>89</v>
      </c>
      <c r="E71" s="27" t="s">
        <v>89</v>
      </c>
      <c r="F71" s="243">
        <v>1186.484225</v>
      </c>
    </row>
    <row r="72" spans="1:6" ht="12">
      <c r="A72" s="74" t="s">
        <v>8</v>
      </c>
      <c r="B72" s="248"/>
      <c r="C72" s="248"/>
      <c r="D72" s="27" t="s">
        <v>95</v>
      </c>
      <c r="E72" s="27" t="s">
        <v>95</v>
      </c>
      <c r="F72" s="243">
        <v>20.8023293</v>
      </c>
    </row>
    <row r="73" spans="1:6" ht="12">
      <c r="A73" s="74" t="s">
        <v>8</v>
      </c>
      <c r="B73" s="248"/>
      <c r="C73" s="248"/>
      <c r="D73" s="27" t="s">
        <v>91</v>
      </c>
      <c r="E73" s="27" t="s">
        <v>91</v>
      </c>
      <c r="F73" s="243">
        <v>506.17666699999995</v>
      </c>
    </row>
    <row r="74" spans="1:6" ht="12">
      <c r="A74" s="74" t="s">
        <v>8</v>
      </c>
      <c r="B74" s="248"/>
      <c r="C74" s="248"/>
      <c r="D74" s="27" t="s">
        <v>92</v>
      </c>
      <c r="E74" s="27" t="s">
        <v>92</v>
      </c>
      <c r="F74" s="243">
        <v>185.9951041</v>
      </c>
    </row>
    <row r="75" spans="1:6" ht="12">
      <c r="A75" s="74" t="s">
        <v>8</v>
      </c>
      <c r="B75" s="248"/>
      <c r="C75" s="248"/>
      <c r="D75" s="27" t="s">
        <v>93</v>
      </c>
      <c r="E75" s="27" t="s">
        <v>93</v>
      </c>
      <c r="F75" s="243">
        <v>1362.5453877</v>
      </c>
    </row>
    <row r="76" spans="1:6" ht="12">
      <c r="A76" s="74" t="s">
        <v>8</v>
      </c>
      <c r="B76" s="248"/>
      <c r="C76" s="248"/>
      <c r="D76" s="27" t="s">
        <v>97</v>
      </c>
      <c r="E76" s="27" t="s">
        <v>97</v>
      </c>
      <c r="F76" s="243">
        <v>267.1711809</v>
      </c>
    </row>
    <row r="77" spans="1:6" ht="12">
      <c r="A77" s="74" t="s">
        <v>8</v>
      </c>
      <c r="B77" s="248"/>
      <c r="C77" s="248"/>
      <c r="D77" s="27" t="s">
        <v>18</v>
      </c>
      <c r="E77" s="27" t="s">
        <v>18</v>
      </c>
      <c r="F77" s="243">
        <v>809.2087299999998</v>
      </c>
    </row>
    <row r="78" spans="1:6" s="25" customFormat="1" ht="14.25">
      <c r="A78" s="81" t="s">
        <v>1</v>
      </c>
      <c r="B78" s="250"/>
      <c r="C78" s="250"/>
      <c r="D78" s="24" t="s">
        <v>98</v>
      </c>
      <c r="E78" s="24" t="s">
        <v>98</v>
      </c>
      <c r="F78" s="244">
        <v>6234.879328999999</v>
      </c>
    </row>
    <row r="79" spans="1:5" s="25" customFormat="1" ht="12.75">
      <c r="A79" s="74" t="s">
        <v>10</v>
      </c>
      <c r="B79" s="250"/>
      <c r="C79" s="250"/>
      <c r="D79" s="24"/>
      <c r="E79" s="24"/>
    </row>
    <row r="80" spans="1:6" ht="12.75">
      <c r="A80" s="74" t="s">
        <v>7</v>
      </c>
      <c r="B80" s="248"/>
      <c r="C80" s="248"/>
      <c r="D80" s="24" t="s">
        <v>99</v>
      </c>
      <c r="E80" s="24" t="s">
        <v>99</v>
      </c>
      <c r="F80" s="17"/>
    </row>
    <row r="81" spans="1:6" s="25" customFormat="1" ht="12.75">
      <c r="A81" s="81" t="s">
        <v>1</v>
      </c>
      <c r="B81" s="250"/>
      <c r="C81" s="250"/>
      <c r="D81" s="24" t="s">
        <v>100</v>
      </c>
      <c r="E81" s="24" t="s">
        <v>100</v>
      </c>
      <c r="F81" s="26">
        <v>797.8735116000003</v>
      </c>
    </row>
    <row r="82" spans="1:6" s="25" customFormat="1" ht="12.75">
      <c r="A82" s="81" t="s">
        <v>1</v>
      </c>
      <c r="B82" s="250"/>
      <c r="C82" s="250"/>
      <c r="D82" s="24" t="s">
        <v>101</v>
      </c>
      <c r="E82" s="24" t="s">
        <v>101</v>
      </c>
      <c r="F82" s="26">
        <v>7032.7528406</v>
      </c>
    </row>
    <row r="83" spans="1:6" ht="12">
      <c r="A83" s="74" t="s">
        <v>10</v>
      </c>
      <c r="B83" s="248"/>
      <c r="C83" s="248"/>
      <c r="D83" s="27"/>
      <c r="E83" s="27"/>
      <c r="F83" s="17"/>
    </row>
    <row r="84" spans="1:6" s="13" customFormat="1" ht="21.75" customHeight="1">
      <c r="A84" s="70" t="s">
        <v>7</v>
      </c>
      <c r="B84" s="251"/>
      <c r="C84" s="251"/>
      <c r="D84" s="48" t="s">
        <v>102</v>
      </c>
      <c r="E84" s="48" t="s">
        <v>102</v>
      </c>
      <c r="F84" s="52">
        <v>2019</v>
      </c>
    </row>
    <row r="85" spans="1:6" ht="12">
      <c r="A85" s="74" t="s">
        <v>8</v>
      </c>
      <c r="B85" s="248"/>
      <c r="C85" s="248"/>
      <c r="D85" s="27" t="s">
        <v>112</v>
      </c>
      <c r="E85" s="27" t="s">
        <v>112</v>
      </c>
      <c r="F85" s="94">
        <v>1205.1846302</v>
      </c>
    </row>
    <row r="86" spans="1:6" ht="12">
      <c r="A86" s="74" t="s">
        <v>8</v>
      </c>
      <c r="B86" s="248"/>
      <c r="C86" s="248"/>
      <c r="D86" s="27" t="s">
        <v>103</v>
      </c>
      <c r="E86" s="27" t="s">
        <v>103</v>
      </c>
      <c r="F86" s="8">
        <v>1106.1033166</v>
      </c>
    </row>
    <row r="87" spans="1:6" ht="12">
      <c r="A87" s="74" t="s">
        <v>8</v>
      </c>
      <c r="B87" s="248"/>
      <c r="C87" s="248"/>
      <c r="D87" s="27" t="s">
        <v>113</v>
      </c>
      <c r="E87" s="27" t="s">
        <v>113</v>
      </c>
      <c r="F87" s="8">
        <v>237.7333363</v>
      </c>
    </row>
    <row r="88" spans="1:6" ht="12">
      <c r="A88" s="74" t="s">
        <v>8</v>
      </c>
      <c r="B88" s="248"/>
      <c r="C88" s="248"/>
      <c r="D88" s="27" t="s">
        <v>18</v>
      </c>
      <c r="E88" s="27" t="s">
        <v>18</v>
      </c>
      <c r="F88" s="8">
        <v>121.31413330000001</v>
      </c>
    </row>
    <row r="89" spans="1:6" s="25" customFormat="1" ht="12.75">
      <c r="A89" s="81" t="s">
        <v>1</v>
      </c>
      <c r="B89" s="250"/>
      <c r="C89" s="250"/>
      <c r="D89" s="24" t="s">
        <v>104</v>
      </c>
      <c r="E89" s="24" t="s">
        <v>104</v>
      </c>
      <c r="F89" s="26">
        <v>2670.3354164</v>
      </c>
    </row>
    <row r="90" spans="1:6" ht="12">
      <c r="A90" s="74" t="s">
        <v>10</v>
      </c>
      <c r="B90" s="248"/>
      <c r="C90" s="248"/>
      <c r="D90" s="27"/>
      <c r="E90" s="27"/>
      <c r="F90" s="17"/>
    </row>
    <row r="91" spans="1:6" ht="12.75">
      <c r="A91" s="74" t="s">
        <v>7</v>
      </c>
      <c r="B91" s="248"/>
      <c r="C91" s="248"/>
      <c r="D91" s="24" t="s">
        <v>105</v>
      </c>
      <c r="E91" s="24" t="s">
        <v>105</v>
      </c>
      <c r="F91" s="245">
        <v>2019</v>
      </c>
    </row>
    <row r="92" spans="1:6" ht="12">
      <c r="A92" s="74" t="s">
        <v>8</v>
      </c>
      <c r="B92" s="248"/>
      <c r="C92" s="248"/>
      <c r="D92" s="27" t="s">
        <v>106</v>
      </c>
      <c r="E92" s="27" t="s">
        <v>106</v>
      </c>
      <c r="F92" s="8">
        <v>4784.5144685000005</v>
      </c>
    </row>
    <row r="93" spans="1:6" ht="12">
      <c r="A93" s="74" t="s">
        <v>8</v>
      </c>
      <c r="B93" s="248"/>
      <c r="C93" s="248"/>
      <c r="D93" s="27" t="s">
        <v>107</v>
      </c>
      <c r="E93" s="27" t="s">
        <v>107</v>
      </c>
      <c r="F93" s="8">
        <v>642.9639006</v>
      </c>
    </row>
    <row r="94" spans="1:6" ht="12">
      <c r="A94" s="74" t="s">
        <v>8</v>
      </c>
      <c r="B94" s="248"/>
      <c r="C94" s="248"/>
      <c r="D94" s="27" t="s">
        <v>18</v>
      </c>
      <c r="E94" s="27" t="s">
        <v>18</v>
      </c>
      <c r="F94" s="8">
        <v>14.185136900000002</v>
      </c>
    </row>
    <row r="95" spans="1:6" s="25" customFormat="1" ht="12.75">
      <c r="A95" s="81" t="s">
        <v>1</v>
      </c>
      <c r="B95" s="250"/>
      <c r="C95" s="250"/>
      <c r="D95" s="24" t="s">
        <v>108</v>
      </c>
      <c r="E95" s="24" t="s">
        <v>108</v>
      </c>
      <c r="F95" s="26">
        <v>5441.663506</v>
      </c>
    </row>
    <row r="96" spans="1:6" ht="12">
      <c r="A96" s="74" t="s">
        <v>10</v>
      </c>
      <c r="B96" s="248"/>
      <c r="C96" s="248"/>
      <c r="D96" s="27"/>
      <c r="E96" s="27"/>
      <c r="F96" s="17"/>
    </row>
    <row r="97" spans="1:6" s="13" customFormat="1" ht="12.75">
      <c r="A97" s="70" t="s">
        <v>7</v>
      </c>
      <c r="B97" s="251"/>
      <c r="C97" s="251"/>
      <c r="D97" s="48" t="s">
        <v>109</v>
      </c>
      <c r="E97" s="48" t="s">
        <v>109</v>
      </c>
      <c r="F97" s="52">
        <v>2019</v>
      </c>
    </row>
    <row r="98" spans="1:6" s="25" customFormat="1" ht="12.75">
      <c r="A98" s="81" t="s">
        <v>1</v>
      </c>
      <c r="B98" s="250"/>
      <c r="C98" s="250"/>
      <c r="D98" s="24" t="s">
        <v>1</v>
      </c>
      <c r="E98" s="24" t="s">
        <v>1</v>
      </c>
      <c r="F98" s="26">
        <v>118981.05689920002</v>
      </c>
    </row>
    <row r="99" spans="1:5" ht="12">
      <c r="A99" s="74" t="s">
        <v>10</v>
      </c>
      <c r="B99" s="248"/>
      <c r="C99" s="248"/>
      <c r="D99" s="27"/>
      <c r="E99" s="27"/>
    </row>
    <row r="100" spans="1:6" ht="12">
      <c r="A100" s="74" t="s">
        <v>16</v>
      </c>
      <c r="B100" s="248"/>
      <c r="C100" s="248"/>
      <c r="D100" s="58" t="s">
        <v>591</v>
      </c>
      <c r="E100" s="58" t="s">
        <v>591</v>
      </c>
      <c r="F100" s="246"/>
    </row>
    <row r="101" spans="1:5" ht="12">
      <c r="A101" s="74" t="s">
        <v>10</v>
      </c>
      <c r="B101" s="17"/>
      <c r="C101" s="17"/>
      <c r="D101" s="17"/>
      <c r="E101" s="17"/>
    </row>
    <row r="102" spans="1:11" s="17" customFormat="1" ht="150">
      <c r="A102" s="74" t="s">
        <v>619</v>
      </c>
      <c r="E102" s="63" t="s">
        <v>620</v>
      </c>
      <c r="F102" s="57"/>
      <c r="G102" s="57"/>
      <c r="H102" s="57"/>
      <c r="I102" s="57"/>
      <c r="J102" s="57"/>
      <c r="K102" s="57"/>
    </row>
    <row r="103" spans="2:3" ht="12">
      <c r="B103" s="252"/>
      <c r="C103" s="252"/>
    </row>
    <row r="104" spans="2:3" ht="12">
      <c r="B104" s="252"/>
      <c r="C104" s="252"/>
    </row>
    <row r="105" spans="2:3" ht="12">
      <c r="B105" s="252"/>
      <c r="C105" s="252"/>
    </row>
    <row r="106" spans="2:3" ht="12">
      <c r="B106" s="252"/>
      <c r="C106" s="252"/>
    </row>
    <row r="107" spans="2:3" ht="12">
      <c r="B107" s="252"/>
      <c r="C107" s="252"/>
    </row>
    <row r="108" spans="2:3" ht="12">
      <c r="B108" s="252"/>
      <c r="C108" s="252"/>
    </row>
  </sheetData>
  <sheetProtection/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scale="5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23">
    <pageSetUpPr fitToPage="1"/>
  </sheetPr>
  <dimension ref="A1:K161"/>
  <sheetViews>
    <sheetView zoomScaleSheetLayoutView="80" zoomScalePageLayoutView="0" workbookViewId="0" topLeftCell="A88">
      <selection activeCell="A102" sqref="A102:IV102"/>
    </sheetView>
  </sheetViews>
  <sheetFormatPr defaultColWidth="11.421875" defaultRowHeight="12.75"/>
  <cols>
    <col min="1" max="1" width="12.7109375" style="74" bestFit="1" customWidth="1"/>
    <col min="2" max="2" width="12.421875" style="17" bestFit="1" customWidth="1"/>
    <col min="3" max="3" width="11.421875" style="7" bestFit="1" customWidth="1"/>
    <col min="4" max="4" width="44.28125" style="7" hidden="1" customWidth="1"/>
    <col min="5" max="5" width="26.421875" style="7" customWidth="1"/>
    <col min="6" max="16384" width="11.421875" style="17" customWidth="1"/>
  </cols>
  <sheetData>
    <row r="1" spans="1:5" s="7" customFormat="1" ht="15.75" customHeight="1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s="7" customFormat="1" ht="15.75" customHeight="1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s="7" customFormat="1" ht="15.75" customHeight="1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6.5" customHeight="1">
      <c r="A4" s="74" t="s">
        <v>6</v>
      </c>
      <c r="B4" s="33" t="s">
        <v>33</v>
      </c>
      <c r="C4" s="23"/>
      <c r="D4" s="24" t="s">
        <v>587</v>
      </c>
      <c r="E4" s="24" t="s">
        <v>587</v>
      </c>
    </row>
    <row r="5" spans="2:5" ht="12.75">
      <c r="B5" s="33" t="s">
        <v>35</v>
      </c>
      <c r="C5" s="34" t="s">
        <v>139</v>
      </c>
      <c r="D5" s="24"/>
      <c r="E5" s="24"/>
    </row>
    <row r="6" spans="1:6" s="18" customFormat="1" ht="12.75">
      <c r="A6" s="70" t="s">
        <v>7</v>
      </c>
      <c r="B6" s="42" t="s">
        <v>34</v>
      </c>
      <c r="C6" s="39" t="s">
        <v>139</v>
      </c>
      <c r="D6" s="48"/>
      <c r="E6" s="48"/>
      <c r="F6" s="55">
        <v>2019</v>
      </c>
    </row>
    <row r="7" spans="1:6" s="14" customFormat="1" ht="13.5">
      <c r="A7" s="77" t="s">
        <v>177</v>
      </c>
      <c r="B7" s="82"/>
      <c r="C7" s="80"/>
      <c r="D7" s="46"/>
      <c r="E7" s="46"/>
      <c r="F7" s="78"/>
    </row>
    <row r="8" spans="1:6" s="18" customFormat="1" ht="12.75">
      <c r="A8" s="70" t="s">
        <v>7</v>
      </c>
      <c r="B8" s="70"/>
      <c r="C8" s="70"/>
      <c r="D8" s="48" t="s">
        <v>36</v>
      </c>
      <c r="E8" s="48" t="s">
        <v>36</v>
      </c>
      <c r="F8" s="83"/>
    </row>
    <row r="9" spans="1:6" ht="12">
      <c r="A9" s="74" t="s">
        <v>8</v>
      </c>
      <c r="B9" s="249"/>
      <c r="C9" s="248"/>
      <c r="D9" s="27" t="s">
        <v>37</v>
      </c>
      <c r="E9" s="27" t="s">
        <v>37</v>
      </c>
      <c r="F9" s="21">
        <v>4350</v>
      </c>
    </row>
    <row r="10" spans="1:6" ht="12">
      <c r="A10" s="74" t="s">
        <v>8</v>
      </c>
      <c r="B10" s="249"/>
      <c r="C10" s="248"/>
      <c r="D10" s="27" t="s">
        <v>38</v>
      </c>
      <c r="E10" s="27" t="s">
        <v>38</v>
      </c>
      <c r="F10" s="21">
        <v>1341</v>
      </c>
    </row>
    <row r="11" spans="1:6" ht="12">
      <c r="A11" s="74" t="s">
        <v>8</v>
      </c>
      <c r="B11" s="249"/>
      <c r="C11" s="248"/>
      <c r="D11" s="27" t="s">
        <v>39</v>
      </c>
      <c r="E11" s="27" t="s">
        <v>39</v>
      </c>
      <c r="F11" s="21">
        <v>1705</v>
      </c>
    </row>
    <row r="12" spans="1:6" ht="12">
      <c r="A12" s="74" t="s">
        <v>8</v>
      </c>
      <c r="B12" s="249"/>
      <c r="C12" s="248"/>
      <c r="D12" s="27" t="s">
        <v>40</v>
      </c>
      <c r="E12" s="27" t="s">
        <v>40</v>
      </c>
      <c r="F12" s="21">
        <v>145</v>
      </c>
    </row>
    <row r="13" spans="1:6" ht="12">
      <c r="A13" s="74" t="s">
        <v>8</v>
      </c>
      <c r="B13" s="249"/>
      <c r="C13" s="248"/>
      <c r="D13" s="27" t="s">
        <v>41</v>
      </c>
      <c r="E13" s="27" t="s">
        <v>41</v>
      </c>
      <c r="F13" s="21">
        <v>315</v>
      </c>
    </row>
    <row r="14" spans="1:6" ht="12">
      <c r="A14" s="74" t="s">
        <v>8</v>
      </c>
      <c r="B14" s="249"/>
      <c r="C14" s="248"/>
      <c r="D14" s="27" t="s">
        <v>42</v>
      </c>
      <c r="E14" s="27" t="s">
        <v>42</v>
      </c>
      <c r="F14" s="21">
        <v>328</v>
      </c>
    </row>
    <row r="15" spans="1:6" ht="12">
      <c r="A15" s="74" t="s">
        <v>8</v>
      </c>
      <c r="B15" s="249"/>
      <c r="C15" s="248"/>
      <c r="D15" s="27" t="s">
        <v>43</v>
      </c>
      <c r="E15" s="27" t="s">
        <v>43</v>
      </c>
      <c r="F15" s="21">
        <v>109</v>
      </c>
    </row>
    <row r="16" spans="1:6" ht="12">
      <c r="A16" s="74" t="s">
        <v>8</v>
      </c>
      <c r="B16" s="249"/>
      <c r="C16" s="248"/>
      <c r="D16" s="27" t="s">
        <v>44</v>
      </c>
      <c r="E16" s="27" t="s">
        <v>44</v>
      </c>
      <c r="F16" s="21">
        <v>443</v>
      </c>
    </row>
    <row r="17" spans="1:6" ht="12">
      <c r="A17" s="74" t="s">
        <v>8</v>
      </c>
      <c r="B17" s="249"/>
      <c r="C17" s="248"/>
      <c r="D17" s="27" t="s">
        <v>45</v>
      </c>
      <c r="E17" s="27" t="s">
        <v>45</v>
      </c>
      <c r="F17" s="21">
        <v>192</v>
      </c>
    </row>
    <row r="18" spans="1:6" ht="12">
      <c r="A18" s="74" t="s">
        <v>8</v>
      </c>
      <c r="B18" s="249"/>
      <c r="C18" s="248"/>
      <c r="D18" s="27" t="s">
        <v>46</v>
      </c>
      <c r="E18" s="27" t="s">
        <v>46</v>
      </c>
      <c r="F18" s="21">
        <v>88</v>
      </c>
    </row>
    <row r="19" spans="1:6" ht="12">
      <c r="A19" s="74" t="s">
        <v>8</v>
      </c>
      <c r="B19" s="249"/>
      <c r="C19" s="248"/>
      <c r="D19" s="27" t="s">
        <v>47</v>
      </c>
      <c r="E19" s="27" t="s">
        <v>47</v>
      </c>
      <c r="F19" s="21">
        <v>240</v>
      </c>
    </row>
    <row r="20" spans="1:6" ht="12">
      <c r="A20" s="74" t="s">
        <v>8</v>
      </c>
      <c r="B20" s="249"/>
      <c r="C20" s="248"/>
      <c r="D20" s="27" t="s">
        <v>48</v>
      </c>
      <c r="E20" s="27" t="s">
        <v>48</v>
      </c>
      <c r="F20" s="21">
        <v>83</v>
      </c>
    </row>
    <row r="21" spans="1:6" ht="12">
      <c r="A21" s="74" t="s">
        <v>8</v>
      </c>
      <c r="B21" s="249"/>
      <c r="C21" s="248"/>
      <c r="D21" s="27" t="s">
        <v>49</v>
      </c>
      <c r="E21" s="27" t="s">
        <v>49</v>
      </c>
      <c r="F21" s="21">
        <v>35</v>
      </c>
    </row>
    <row r="22" spans="1:6" ht="12">
      <c r="A22" s="74" t="s">
        <v>8</v>
      </c>
      <c r="B22" s="249"/>
      <c r="C22" s="248"/>
      <c r="D22" s="27" t="s">
        <v>50</v>
      </c>
      <c r="E22" s="27" t="s">
        <v>50</v>
      </c>
      <c r="F22" s="21">
        <v>51</v>
      </c>
    </row>
    <row r="23" spans="1:6" ht="12">
      <c r="A23" s="74" t="s">
        <v>8</v>
      </c>
      <c r="B23" s="249"/>
      <c r="C23" s="248"/>
      <c r="D23" s="27" t="s">
        <v>51</v>
      </c>
      <c r="E23" s="27" t="s">
        <v>51</v>
      </c>
      <c r="F23" s="21">
        <v>16</v>
      </c>
    </row>
    <row r="24" spans="1:6" ht="12">
      <c r="A24" s="74" t="s">
        <v>8</v>
      </c>
      <c r="B24" s="249"/>
      <c r="C24" s="248"/>
      <c r="D24" s="27" t="s">
        <v>52</v>
      </c>
      <c r="E24" s="27" t="s">
        <v>52</v>
      </c>
      <c r="F24" s="21">
        <v>28</v>
      </c>
    </row>
    <row r="25" spans="1:6" ht="12">
      <c r="A25" s="74" t="s">
        <v>8</v>
      </c>
      <c r="B25" s="249"/>
      <c r="C25" s="248"/>
      <c r="D25" s="27" t="s">
        <v>53</v>
      </c>
      <c r="E25" s="27" t="s">
        <v>53</v>
      </c>
      <c r="F25" s="21">
        <v>28</v>
      </c>
    </row>
    <row r="26" spans="1:6" s="25" customFormat="1" ht="12.75">
      <c r="A26" s="81" t="s">
        <v>1</v>
      </c>
      <c r="B26" s="250"/>
      <c r="C26" s="250"/>
      <c r="D26" s="24" t="s">
        <v>54</v>
      </c>
      <c r="E26" s="24" t="s">
        <v>54</v>
      </c>
      <c r="F26" s="4">
        <f>SUM(F9:F25)</f>
        <v>9497</v>
      </c>
    </row>
    <row r="27" spans="1:6" ht="12">
      <c r="A27" s="74" t="s">
        <v>10</v>
      </c>
      <c r="B27" s="248"/>
      <c r="C27" s="248"/>
      <c r="D27" s="27"/>
      <c r="E27" s="27"/>
      <c r="F27" s="8"/>
    </row>
    <row r="28" spans="1:6" s="45" customFormat="1" ht="12.75">
      <c r="A28" s="75" t="s">
        <v>7</v>
      </c>
      <c r="B28" s="253"/>
      <c r="C28" s="253"/>
      <c r="D28" s="48" t="s">
        <v>55</v>
      </c>
      <c r="E28" s="48" t="s">
        <v>55</v>
      </c>
      <c r="F28" s="85">
        <v>2019</v>
      </c>
    </row>
    <row r="29" spans="1:6" s="14" customFormat="1" ht="12.75">
      <c r="A29" s="74" t="s">
        <v>8</v>
      </c>
      <c r="B29" s="248"/>
      <c r="C29" s="248"/>
      <c r="D29" s="46"/>
      <c r="E29" s="46"/>
      <c r="F29" s="86"/>
    </row>
    <row r="30" spans="1:6" ht="12">
      <c r="A30" s="74" t="s">
        <v>8</v>
      </c>
      <c r="B30" s="248"/>
      <c r="C30" s="248"/>
      <c r="D30" s="27" t="s">
        <v>56</v>
      </c>
      <c r="E30" s="27" t="s">
        <v>56</v>
      </c>
      <c r="F30" s="21">
        <v>2459</v>
      </c>
    </row>
    <row r="31" spans="1:6" ht="12">
      <c r="A31" s="74" t="s">
        <v>8</v>
      </c>
      <c r="B31" s="248"/>
      <c r="C31" s="248"/>
      <c r="D31" s="27" t="s">
        <v>57</v>
      </c>
      <c r="E31" s="27" t="s">
        <v>57</v>
      </c>
      <c r="F31" s="21">
        <v>814</v>
      </c>
    </row>
    <row r="32" spans="1:6" ht="12">
      <c r="A32" s="74" t="s">
        <v>8</v>
      </c>
      <c r="B32" s="248"/>
      <c r="C32" s="248"/>
      <c r="D32" s="27" t="s">
        <v>58</v>
      </c>
      <c r="E32" s="27" t="s">
        <v>58</v>
      </c>
      <c r="F32" s="21">
        <v>5500</v>
      </c>
    </row>
    <row r="33" spans="1:6" ht="12">
      <c r="A33" s="74" t="s">
        <v>8</v>
      </c>
      <c r="B33" s="248"/>
      <c r="C33" s="248"/>
      <c r="D33" s="27" t="s">
        <v>59</v>
      </c>
      <c r="E33" s="27" t="s">
        <v>59</v>
      </c>
      <c r="F33" s="21">
        <v>68</v>
      </c>
    </row>
    <row r="34" spans="1:6" ht="12">
      <c r="A34" s="74" t="s">
        <v>8</v>
      </c>
      <c r="B34" s="248"/>
      <c r="C34" s="248"/>
      <c r="D34" s="27" t="s">
        <v>60</v>
      </c>
      <c r="E34" s="27" t="s">
        <v>60</v>
      </c>
      <c r="F34" s="21">
        <v>132</v>
      </c>
    </row>
    <row r="35" spans="1:6" ht="12">
      <c r="A35" s="74" t="s">
        <v>8</v>
      </c>
      <c r="B35" s="248"/>
      <c r="C35" s="248"/>
      <c r="D35" s="27" t="s">
        <v>61</v>
      </c>
      <c r="E35" s="27" t="s">
        <v>61</v>
      </c>
      <c r="F35" s="8">
        <v>39</v>
      </c>
    </row>
    <row r="36" spans="1:6" ht="12">
      <c r="A36" s="74" t="s">
        <v>8</v>
      </c>
      <c r="B36" s="248"/>
      <c r="C36" s="248"/>
      <c r="D36" s="27" t="s">
        <v>62</v>
      </c>
      <c r="E36" s="27" t="s">
        <v>62</v>
      </c>
      <c r="F36" s="21">
        <v>41</v>
      </c>
    </row>
    <row r="37" spans="1:6" ht="12">
      <c r="A37" s="74" t="s">
        <v>8</v>
      </c>
      <c r="B37" s="248"/>
      <c r="C37" s="248"/>
      <c r="D37" s="58" t="s">
        <v>602</v>
      </c>
      <c r="E37" s="58" t="s">
        <v>602</v>
      </c>
      <c r="F37" s="21">
        <v>32</v>
      </c>
    </row>
    <row r="38" spans="1:6" ht="12">
      <c r="A38" s="74" t="s">
        <v>8</v>
      </c>
      <c r="B38" s="248"/>
      <c r="C38" s="248"/>
      <c r="D38" s="27" t="s">
        <v>63</v>
      </c>
      <c r="E38" s="27" t="s">
        <v>63</v>
      </c>
      <c r="F38" s="21">
        <v>19</v>
      </c>
    </row>
    <row r="39" spans="1:6" ht="12">
      <c r="A39" s="74" t="s">
        <v>8</v>
      </c>
      <c r="B39" s="248"/>
      <c r="C39" s="248"/>
      <c r="D39" s="27" t="s">
        <v>65</v>
      </c>
      <c r="E39" s="27" t="s">
        <v>65</v>
      </c>
      <c r="F39" s="21">
        <v>307</v>
      </c>
    </row>
    <row r="40" spans="1:6" s="25" customFormat="1" ht="12.75">
      <c r="A40" s="81" t="s">
        <v>1</v>
      </c>
      <c r="B40" s="250"/>
      <c r="C40" s="250"/>
      <c r="D40" s="24" t="s">
        <v>66</v>
      </c>
      <c r="E40" s="24" t="s">
        <v>66</v>
      </c>
      <c r="F40" s="4">
        <f>SUM(F30:F39)</f>
        <v>9411</v>
      </c>
    </row>
    <row r="41" spans="1:6" s="25" customFormat="1" ht="12.75">
      <c r="A41" s="81" t="s">
        <v>1</v>
      </c>
      <c r="B41" s="250"/>
      <c r="C41" s="250"/>
      <c r="D41" s="24" t="s">
        <v>67</v>
      </c>
      <c r="E41" s="24" t="s">
        <v>67</v>
      </c>
      <c r="F41" s="4">
        <f>F26+F40</f>
        <v>18908</v>
      </c>
    </row>
    <row r="42" spans="1:6" ht="12">
      <c r="A42" s="74" t="s">
        <v>10</v>
      </c>
      <c r="B42" s="132"/>
      <c r="C42" s="248"/>
      <c r="D42" s="27"/>
      <c r="E42" s="27"/>
      <c r="F42" s="8"/>
    </row>
    <row r="43" spans="1:6" s="45" customFormat="1" ht="12.75">
      <c r="A43" s="75" t="s">
        <v>7</v>
      </c>
      <c r="B43" s="253"/>
      <c r="C43" s="253"/>
      <c r="D43" s="48" t="s">
        <v>68</v>
      </c>
      <c r="E43" s="48" t="s">
        <v>68</v>
      </c>
      <c r="F43" s="85">
        <v>2019</v>
      </c>
    </row>
    <row r="44" spans="1:6" s="14" customFormat="1" ht="12.75">
      <c r="A44" s="74" t="s">
        <v>10</v>
      </c>
      <c r="B44" s="248"/>
      <c r="C44" s="248"/>
      <c r="D44" s="46"/>
      <c r="E44" s="46"/>
      <c r="F44" s="86"/>
    </row>
    <row r="45" spans="1:6" ht="12">
      <c r="A45" s="74" t="s">
        <v>8</v>
      </c>
      <c r="B45" s="248"/>
      <c r="C45" s="248"/>
      <c r="D45" s="27" t="s">
        <v>69</v>
      </c>
      <c r="E45" s="27" t="s">
        <v>69</v>
      </c>
      <c r="F45" s="21">
        <v>6502</v>
      </c>
    </row>
    <row r="46" spans="1:6" ht="12">
      <c r="A46" s="74" t="s">
        <v>8</v>
      </c>
      <c r="B46" s="248"/>
      <c r="C46" s="248"/>
      <c r="D46" s="27" t="s">
        <v>70</v>
      </c>
      <c r="E46" s="27" t="s">
        <v>70</v>
      </c>
      <c r="F46" s="21">
        <v>138</v>
      </c>
    </row>
    <row r="47" spans="1:6" s="25" customFormat="1" ht="12.75">
      <c r="A47" s="81" t="s">
        <v>1</v>
      </c>
      <c r="B47" s="250"/>
      <c r="C47" s="250"/>
      <c r="D47" s="24" t="s">
        <v>71</v>
      </c>
      <c r="E47" s="24" t="s">
        <v>71</v>
      </c>
      <c r="F47" s="26">
        <f>SUM(F45:F46)</f>
        <v>6640</v>
      </c>
    </row>
    <row r="48" spans="1:6" ht="12">
      <c r="A48" s="74" t="s">
        <v>10</v>
      </c>
      <c r="B48" s="248"/>
      <c r="C48" s="248"/>
      <c r="D48" s="27"/>
      <c r="E48" s="27"/>
      <c r="F48" s="8"/>
    </row>
    <row r="49" spans="1:6" s="45" customFormat="1" ht="12.75">
      <c r="A49" s="75" t="s">
        <v>7</v>
      </c>
      <c r="B49" s="253"/>
      <c r="C49" s="253"/>
      <c r="D49" s="48" t="s">
        <v>72</v>
      </c>
      <c r="E49" s="48" t="s">
        <v>72</v>
      </c>
      <c r="F49" s="85">
        <v>2019</v>
      </c>
    </row>
    <row r="50" spans="1:6" s="14" customFormat="1" ht="12.75">
      <c r="A50" s="74" t="s">
        <v>10</v>
      </c>
      <c r="B50" s="248"/>
      <c r="C50" s="248"/>
      <c r="D50" s="46"/>
      <c r="E50" s="46"/>
      <c r="F50" s="86"/>
    </row>
    <row r="51" spans="1:6" ht="12">
      <c r="A51" s="74" t="s">
        <v>8</v>
      </c>
      <c r="B51" s="248"/>
      <c r="C51" s="248"/>
      <c r="D51" s="27" t="s">
        <v>73</v>
      </c>
      <c r="E51" s="27" t="s">
        <v>73</v>
      </c>
      <c r="F51" s="21">
        <v>7375</v>
      </c>
    </row>
    <row r="52" spans="1:6" ht="12">
      <c r="A52" s="74" t="s">
        <v>8</v>
      </c>
      <c r="B52" s="248"/>
      <c r="C52" s="248"/>
      <c r="D52" s="27" t="s">
        <v>74</v>
      </c>
      <c r="E52" s="27" t="s">
        <v>74</v>
      </c>
      <c r="F52" s="21">
        <v>4698</v>
      </c>
    </row>
    <row r="53" spans="1:6" ht="12">
      <c r="A53" s="74" t="s">
        <v>8</v>
      </c>
      <c r="B53" s="248"/>
      <c r="C53" s="248"/>
      <c r="D53" s="27" t="s">
        <v>75</v>
      </c>
      <c r="E53" s="27" t="s">
        <v>75</v>
      </c>
      <c r="F53" s="21">
        <v>123</v>
      </c>
    </row>
    <row r="54" spans="1:6" ht="12">
      <c r="A54" s="74" t="s">
        <v>8</v>
      </c>
      <c r="B54" s="248"/>
      <c r="C54" s="248"/>
      <c r="D54" s="27" t="s">
        <v>76</v>
      </c>
      <c r="E54" s="27" t="s">
        <v>76</v>
      </c>
      <c r="F54" s="21">
        <v>98</v>
      </c>
    </row>
    <row r="55" spans="1:6" ht="12">
      <c r="A55" s="74" t="s">
        <v>8</v>
      </c>
      <c r="B55" s="248"/>
      <c r="C55" s="248"/>
      <c r="D55" s="27" t="s">
        <v>77</v>
      </c>
      <c r="E55" s="27" t="s">
        <v>77</v>
      </c>
      <c r="F55" s="21">
        <v>756</v>
      </c>
    </row>
    <row r="56" spans="1:6" ht="12">
      <c r="A56" s="74" t="s">
        <v>8</v>
      </c>
      <c r="B56" s="248"/>
      <c r="C56" s="248"/>
      <c r="D56" s="27" t="s">
        <v>78</v>
      </c>
      <c r="E56" s="27" t="s">
        <v>78</v>
      </c>
      <c r="F56" s="21">
        <v>120</v>
      </c>
    </row>
    <row r="57" spans="1:6" ht="12">
      <c r="A57" s="74" t="s">
        <v>8</v>
      </c>
      <c r="B57" s="248"/>
      <c r="C57" s="248"/>
      <c r="D57" s="27" t="s">
        <v>79</v>
      </c>
      <c r="E57" s="27" t="s">
        <v>79</v>
      </c>
      <c r="F57" s="21">
        <v>3</v>
      </c>
    </row>
    <row r="58" spans="1:6" ht="12">
      <c r="A58" s="74" t="s">
        <v>8</v>
      </c>
      <c r="B58" s="248"/>
      <c r="C58" s="248"/>
      <c r="D58" s="58" t="s">
        <v>610</v>
      </c>
      <c r="E58" s="58" t="s">
        <v>610</v>
      </c>
      <c r="F58" s="21">
        <v>32</v>
      </c>
    </row>
    <row r="59" spans="1:6" ht="12">
      <c r="A59" s="74" t="s">
        <v>8</v>
      </c>
      <c r="B59" s="248"/>
      <c r="C59" s="248"/>
      <c r="D59" s="27" t="s">
        <v>81</v>
      </c>
      <c r="E59" s="27" t="s">
        <v>81</v>
      </c>
      <c r="F59" s="21">
        <v>1638</v>
      </c>
    </row>
    <row r="60" spans="1:6" s="25" customFormat="1" ht="12.75">
      <c r="A60" s="81" t="s">
        <v>1</v>
      </c>
      <c r="B60" s="250"/>
      <c r="C60" s="250"/>
      <c r="D60" s="24" t="s">
        <v>83</v>
      </c>
      <c r="E60" s="24" t="s">
        <v>83</v>
      </c>
      <c r="F60" s="4">
        <f>SUM(F51:F59)</f>
        <v>14843</v>
      </c>
    </row>
    <row r="61" spans="1:6" ht="12">
      <c r="A61" s="74" t="s">
        <v>10</v>
      </c>
      <c r="B61" s="248"/>
      <c r="C61" s="248"/>
      <c r="D61" s="27"/>
      <c r="E61" s="27"/>
      <c r="F61" s="7"/>
    </row>
    <row r="62" spans="1:6" s="45" customFormat="1" ht="12.75">
      <c r="A62" s="75" t="s">
        <v>7</v>
      </c>
      <c r="B62" s="253"/>
      <c r="C62" s="253"/>
      <c r="D62" s="48" t="s">
        <v>84</v>
      </c>
      <c r="E62" s="48" t="s">
        <v>84</v>
      </c>
      <c r="F62" s="85">
        <v>2019</v>
      </c>
    </row>
    <row r="63" spans="1:6" s="14" customFormat="1" ht="12.75">
      <c r="A63" s="74" t="s">
        <v>10</v>
      </c>
      <c r="B63" s="248"/>
      <c r="C63" s="248"/>
      <c r="D63" s="46"/>
      <c r="E63" s="46"/>
      <c r="F63" s="86"/>
    </row>
    <row r="64" spans="1:6" ht="12.75">
      <c r="A64" s="74" t="s">
        <v>8</v>
      </c>
      <c r="B64" s="248"/>
      <c r="C64" s="248"/>
      <c r="D64" s="24" t="s">
        <v>85</v>
      </c>
      <c r="E64" s="24" t="s">
        <v>85</v>
      </c>
      <c r="F64" s="8"/>
    </row>
    <row r="65" spans="1:6" ht="12">
      <c r="A65" s="74" t="s">
        <v>8</v>
      </c>
      <c r="B65" s="248"/>
      <c r="C65" s="248"/>
      <c r="D65" s="27" t="s">
        <v>86</v>
      </c>
      <c r="E65" s="27" t="s">
        <v>86</v>
      </c>
      <c r="F65" s="21">
        <v>723</v>
      </c>
    </row>
    <row r="66" spans="1:6" ht="12">
      <c r="A66" s="74" t="s">
        <v>8</v>
      </c>
      <c r="B66" s="248"/>
      <c r="C66" s="248"/>
      <c r="D66" s="27" t="s">
        <v>87</v>
      </c>
      <c r="E66" s="27" t="s">
        <v>87</v>
      </c>
      <c r="F66" s="21">
        <v>12</v>
      </c>
    </row>
    <row r="67" spans="1:6" ht="12">
      <c r="A67" s="74" t="s">
        <v>8</v>
      </c>
      <c r="B67" s="248"/>
      <c r="C67" s="248"/>
      <c r="D67" s="27" t="s">
        <v>88</v>
      </c>
      <c r="E67" s="27" t="s">
        <v>88</v>
      </c>
      <c r="F67" s="21">
        <v>113</v>
      </c>
    </row>
    <row r="68" spans="1:6" ht="12">
      <c r="A68" s="74" t="s">
        <v>8</v>
      </c>
      <c r="B68" s="248"/>
      <c r="C68" s="248"/>
      <c r="D68" s="27" t="s">
        <v>89</v>
      </c>
      <c r="E68" s="27" t="s">
        <v>89</v>
      </c>
      <c r="F68" s="21">
        <v>2288</v>
      </c>
    </row>
    <row r="69" spans="1:6" ht="12">
      <c r="A69" s="74" t="s">
        <v>8</v>
      </c>
      <c r="B69" s="248"/>
      <c r="C69" s="248"/>
      <c r="D69" s="27" t="s">
        <v>90</v>
      </c>
      <c r="E69" s="27" t="s">
        <v>90</v>
      </c>
      <c r="F69" s="21">
        <v>69</v>
      </c>
    </row>
    <row r="70" spans="1:6" ht="12">
      <c r="A70" s="74" t="s">
        <v>8</v>
      </c>
      <c r="B70" s="248"/>
      <c r="C70" s="248"/>
      <c r="D70" s="27" t="s">
        <v>91</v>
      </c>
      <c r="E70" s="27" t="s">
        <v>91</v>
      </c>
      <c r="F70" s="21">
        <v>265</v>
      </c>
    </row>
    <row r="71" spans="1:6" ht="12">
      <c r="A71" s="74" t="s">
        <v>8</v>
      </c>
      <c r="B71" s="248"/>
      <c r="C71" s="248"/>
      <c r="D71" s="27" t="s">
        <v>92</v>
      </c>
      <c r="E71" s="27" t="s">
        <v>92</v>
      </c>
      <c r="F71" s="21">
        <v>235</v>
      </c>
    </row>
    <row r="72" spans="1:6" ht="12">
      <c r="A72" s="74" t="s">
        <v>8</v>
      </c>
      <c r="B72" s="248"/>
      <c r="C72" s="248"/>
      <c r="D72" s="27" t="s">
        <v>93</v>
      </c>
      <c r="E72" s="27" t="s">
        <v>93</v>
      </c>
      <c r="F72" s="21">
        <v>103</v>
      </c>
    </row>
    <row r="73" spans="1:6" ht="12">
      <c r="A73" s="74" t="s">
        <v>8</v>
      </c>
      <c r="B73" s="248"/>
      <c r="C73" s="248"/>
      <c r="D73" s="27" t="s">
        <v>94</v>
      </c>
      <c r="E73" s="27" t="s">
        <v>94</v>
      </c>
      <c r="F73" s="21">
        <v>58</v>
      </c>
    </row>
    <row r="74" spans="1:6" ht="12">
      <c r="A74" s="74" t="s">
        <v>8</v>
      </c>
      <c r="B74" s="248"/>
      <c r="C74" s="248"/>
      <c r="D74" s="27" t="s">
        <v>95</v>
      </c>
      <c r="E74" s="27" t="s">
        <v>95</v>
      </c>
      <c r="F74" s="21">
        <v>25</v>
      </c>
    </row>
    <row r="75" spans="1:6" ht="12">
      <c r="A75" s="74" t="s">
        <v>8</v>
      </c>
      <c r="B75" s="248"/>
      <c r="C75" s="248"/>
      <c r="D75" s="27" t="s">
        <v>96</v>
      </c>
      <c r="E75" s="27" t="s">
        <v>96</v>
      </c>
      <c r="F75" s="21">
        <v>59</v>
      </c>
    </row>
    <row r="76" spans="1:6" ht="12">
      <c r="A76" s="74" t="s">
        <v>8</v>
      </c>
      <c r="B76" s="248"/>
      <c r="C76" s="248"/>
      <c r="D76" s="27" t="s">
        <v>97</v>
      </c>
      <c r="E76" s="27" t="s">
        <v>97</v>
      </c>
      <c r="F76" s="21">
        <v>34</v>
      </c>
    </row>
    <row r="77" spans="1:6" ht="12">
      <c r="A77" s="74" t="s">
        <v>8</v>
      </c>
      <c r="B77" s="248"/>
      <c r="C77" s="248"/>
      <c r="D77" s="27" t="s">
        <v>18</v>
      </c>
      <c r="E77" s="27" t="s">
        <v>18</v>
      </c>
      <c r="F77" s="3"/>
    </row>
    <row r="78" spans="1:6" s="25" customFormat="1" ht="12.75">
      <c r="A78" s="81" t="s">
        <v>1</v>
      </c>
      <c r="B78" s="250"/>
      <c r="C78" s="250"/>
      <c r="D78" s="24" t="s">
        <v>98</v>
      </c>
      <c r="E78" s="24" t="s">
        <v>98</v>
      </c>
      <c r="F78" s="4">
        <f>SUM(F65:F77)</f>
        <v>3984</v>
      </c>
    </row>
    <row r="79" spans="1:6" ht="12">
      <c r="A79" s="74" t="s">
        <v>10</v>
      </c>
      <c r="B79" s="248"/>
      <c r="C79" s="248"/>
      <c r="D79" s="27"/>
      <c r="E79" s="27"/>
      <c r="F79" s="8"/>
    </row>
    <row r="80" spans="1:6" ht="12.75">
      <c r="A80" s="74" t="s">
        <v>7</v>
      </c>
      <c r="B80" s="248"/>
      <c r="C80" s="248"/>
      <c r="D80" s="24" t="s">
        <v>99</v>
      </c>
      <c r="E80" s="24" t="s">
        <v>99</v>
      </c>
      <c r="F80" s="8"/>
    </row>
    <row r="81" spans="1:6" s="25" customFormat="1" ht="12.75">
      <c r="A81" s="81" t="s">
        <v>1</v>
      </c>
      <c r="B81" s="250"/>
      <c r="C81" s="250"/>
      <c r="D81" s="24" t="s">
        <v>100</v>
      </c>
      <c r="E81" s="24" t="s">
        <v>100</v>
      </c>
      <c r="F81" s="4">
        <v>67</v>
      </c>
    </row>
    <row r="82" spans="1:6" s="25" customFormat="1" ht="12.75">
      <c r="A82" s="81" t="s">
        <v>1</v>
      </c>
      <c r="B82" s="250"/>
      <c r="C82" s="250"/>
      <c r="D82" s="24" t="s">
        <v>101</v>
      </c>
      <c r="E82" s="24" t="s">
        <v>101</v>
      </c>
      <c r="F82" s="4">
        <f>+F78+F81</f>
        <v>4051</v>
      </c>
    </row>
    <row r="83" spans="1:6" ht="12">
      <c r="A83" s="74" t="s">
        <v>10</v>
      </c>
      <c r="B83" s="248"/>
      <c r="C83" s="248"/>
      <c r="D83" s="27"/>
      <c r="E83" s="27"/>
      <c r="F83" s="8"/>
    </row>
    <row r="84" spans="1:6" s="18" customFormat="1" ht="12.75">
      <c r="A84" s="70" t="s">
        <v>7</v>
      </c>
      <c r="B84" s="251"/>
      <c r="C84" s="251"/>
      <c r="D84" s="48" t="s">
        <v>102</v>
      </c>
      <c r="E84" s="48" t="s">
        <v>102</v>
      </c>
      <c r="F84" s="85">
        <v>2019</v>
      </c>
    </row>
    <row r="85" spans="1:6" s="14" customFormat="1" ht="13.5">
      <c r="A85" s="74" t="s">
        <v>10</v>
      </c>
      <c r="B85" s="248"/>
      <c r="C85" s="254"/>
      <c r="D85" s="46"/>
      <c r="E85" s="46"/>
      <c r="F85" s="86"/>
    </row>
    <row r="86" spans="1:6" ht="12">
      <c r="A86" s="74" t="s">
        <v>8</v>
      </c>
      <c r="B86" s="248"/>
      <c r="C86" s="248"/>
      <c r="D86" s="27" t="s">
        <v>112</v>
      </c>
      <c r="E86" s="27" t="s">
        <v>112</v>
      </c>
      <c r="F86" s="21">
        <v>2454</v>
      </c>
    </row>
    <row r="87" spans="1:6" ht="12">
      <c r="A87" s="74" t="s">
        <v>8</v>
      </c>
      <c r="B87" s="248"/>
      <c r="C87" s="248"/>
      <c r="D87" s="27" t="s">
        <v>103</v>
      </c>
      <c r="E87" s="27" t="s">
        <v>103</v>
      </c>
      <c r="F87" s="21">
        <v>805</v>
      </c>
    </row>
    <row r="88" spans="1:6" ht="12">
      <c r="A88" s="74" t="s">
        <v>8</v>
      </c>
      <c r="B88" s="248"/>
      <c r="C88" s="248"/>
      <c r="D88" s="27" t="s">
        <v>113</v>
      </c>
      <c r="E88" s="27" t="s">
        <v>113</v>
      </c>
      <c r="F88" s="3">
        <v>15</v>
      </c>
    </row>
    <row r="89" spans="1:6" s="25" customFormat="1" ht="12.75">
      <c r="A89" s="81" t="s">
        <v>1</v>
      </c>
      <c r="B89" s="250"/>
      <c r="C89" s="250"/>
      <c r="D89" s="24" t="s">
        <v>104</v>
      </c>
      <c r="E89" s="24" t="s">
        <v>104</v>
      </c>
      <c r="F89" s="4">
        <f>SUM(F86:F88)</f>
        <v>3274</v>
      </c>
    </row>
    <row r="90" spans="1:6" ht="12">
      <c r="A90" s="74" t="s">
        <v>10</v>
      </c>
      <c r="B90" s="248"/>
      <c r="C90" s="248"/>
      <c r="D90" s="27"/>
      <c r="E90" s="27"/>
      <c r="F90" s="7"/>
    </row>
    <row r="91" spans="1:6" s="45" customFormat="1" ht="12.75">
      <c r="A91" s="75" t="s">
        <v>7</v>
      </c>
      <c r="B91" s="253"/>
      <c r="C91" s="253"/>
      <c r="D91" s="48" t="s">
        <v>105</v>
      </c>
      <c r="E91" s="48" t="s">
        <v>105</v>
      </c>
      <c r="F91" s="85">
        <v>2019</v>
      </c>
    </row>
    <row r="92" spans="1:6" ht="12.75">
      <c r="A92" s="74" t="s">
        <v>10</v>
      </c>
      <c r="B92" s="248"/>
      <c r="C92" s="248"/>
      <c r="D92" s="24"/>
      <c r="E92" s="24"/>
      <c r="F92" s="21"/>
    </row>
    <row r="93" spans="1:6" ht="12">
      <c r="A93" s="74" t="s">
        <v>8</v>
      </c>
      <c r="B93" s="248"/>
      <c r="C93" s="248"/>
      <c r="D93" s="27" t="s">
        <v>106</v>
      </c>
      <c r="E93" s="27" t="s">
        <v>106</v>
      </c>
      <c r="F93" s="21">
        <v>888</v>
      </c>
    </row>
    <row r="94" spans="1:6" ht="12">
      <c r="A94" s="74" t="s">
        <v>8</v>
      </c>
      <c r="B94" s="248"/>
      <c r="C94" s="248"/>
      <c r="D94" s="27" t="s">
        <v>107</v>
      </c>
      <c r="E94" s="27" t="s">
        <v>107</v>
      </c>
      <c r="F94" s="21">
        <v>48</v>
      </c>
    </row>
    <row r="95" spans="1:6" s="25" customFormat="1" ht="12.75">
      <c r="A95" s="81" t="s">
        <v>1</v>
      </c>
      <c r="B95" s="250"/>
      <c r="C95" s="250"/>
      <c r="D95" s="24" t="s">
        <v>108</v>
      </c>
      <c r="E95" s="24" t="s">
        <v>108</v>
      </c>
      <c r="F95" s="4">
        <f>SUM(F93:F94)</f>
        <v>936</v>
      </c>
    </row>
    <row r="96" spans="1:6" ht="12">
      <c r="A96" s="74" t="s">
        <v>10</v>
      </c>
      <c r="B96" s="248"/>
      <c r="C96" s="248"/>
      <c r="D96" s="27"/>
      <c r="E96" s="27"/>
      <c r="F96" s="8"/>
    </row>
    <row r="97" spans="1:6" s="25" customFormat="1" ht="12.75">
      <c r="A97" s="81" t="s">
        <v>7</v>
      </c>
      <c r="B97" s="250"/>
      <c r="C97" s="250"/>
      <c r="D97" s="24" t="s">
        <v>109</v>
      </c>
      <c r="E97" s="24" t="s">
        <v>109</v>
      </c>
      <c r="F97" s="84">
        <v>2019</v>
      </c>
    </row>
    <row r="98" spans="1:6" s="25" customFormat="1" ht="12.75">
      <c r="A98" s="81" t="s">
        <v>1</v>
      </c>
      <c r="B98" s="250"/>
      <c r="C98" s="250"/>
      <c r="D98" s="24" t="s">
        <v>156</v>
      </c>
      <c r="E98" s="24" t="s">
        <v>156</v>
      </c>
      <c r="F98" s="4">
        <f>SUM(F41,F47,F60,F82,F89,F95)</f>
        <v>48652</v>
      </c>
    </row>
    <row r="99" spans="1:5" s="7" customFormat="1" ht="12">
      <c r="A99" s="74" t="s">
        <v>10</v>
      </c>
      <c r="B99" s="248"/>
      <c r="C99" s="248"/>
      <c r="D99" s="27"/>
      <c r="E99" s="27"/>
    </row>
    <row r="100" spans="1:5" s="7" customFormat="1" ht="12">
      <c r="A100" s="74" t="s">
        <v>16</v>
      </c>
      <c r="B100" s="248"/>
      <c r="C100" s="248"/>
      <c r="D100" s="58" t="s">
        <v>114</v>
      </c>
      <c r="E100" s="58" t="s">
        <v>114</v>
      </c>
    </row>
    <row r="101" spans="1:5" s="7" customFormat="1" ht="12">
      <c r="A101" s="74" t="s">
        <v>10</v>
      </c>
      <c r="B101" s="17"/>
      <c r="C101" s="17"/>
      <c r="D101" s="17"/>
      <c r="E101" s="17"/>
    </row>
    <row r="102" spans="1:11" ht="199.5">
      <c r="A102" s="74" t="s">
        <v>619</v>
      </c>
      <c r="C102" s="17"/>
      <c r="D102" s="17"/>
      <c r="E102" s="63" t="s">
        <v>620</v>
      </c>
      <c r="F102" s="57"/>
      <c r="G102" s="57"/>
      <c r="H102" s="57"/>
      <c r="I102" s="57"/>
      <c r="J102" s="57"/>
      <c r="K102" s="57"/>
    </row>
    <row r="103" s="7" customFormat="1" ht="12">
      <c r="A103" s="74"/>
    </row>
    <row r="117" ht="12">
      <c r="E117" s="27"/>
    </row>
    <row r="124" ht="12">
      <c r="E124" s="27"/>
    </row>
    <row r="126" ht="12">
      <c r="E126" s="27"/>
    </row>
    <row r="129" ht="12">
      <c r="E129" s="27"/>
    </row>
    <row r="136" ht="12">
      <c r="E136" s="27"/>
    </row>
    <row r="142" ht="12">
      <c r="E142" s="17"/>
    </row>
    <row r="161" ht="12.75">
      <c r="E161" s="24"/>
    </row>
  </sheetData>
  <sheetProtection/>
  <printOptions/>
  <pageMargins left="0.75" right="0.75" top="1" bottom="1" header="0.5" footer="0.5"/>
  <pageSetup fitToHeight="1" fitToWidth="1" horizontalDpi="600" verticalDpi="600" orientation="portrait" paperSize="8" scale="7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K28"/>
  <sheetViews>
    <sheetView zoomScale="90" zoomScaleNormal="90" zoomScaleSheetLayoutView="100" zoomScalePageLayoutView="0" workbookViewId="0" topLeftCell="A4">
      <selection activeCell="A28" sqref="A28:IV28"/>
    </sheetView>
  </sheetViews>
  <sheetFormatPr defaultColWidth="9.28125" defaultRowHeight="12.75"/>
  <cols>
    <col min="1" max="1" width="11.28125" style="69" bestFit="1" customWidth="1"/>
    <col min="2" max="2" width="12.28125" style="17" bestFit="1" customWidth="1"/>
    <col min="3" max="3" width="11.28125" style="17" bestFit="1" customWidth="1"/>
    <col min="4" max="4" width="23.421875" style="17" hidden="1" customWidth="1"/>
    <col min="5" max="5" width="54.00390625" style="17" customWidth="1"/>
    <col min="6" max="11" width="7.57421875" style="17" bestFit="1" customWidth="1"/>
    <col min="12" max="16384" width="9.28125" style="17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2.75">
      <c r="A4" s="74" t="s">
        <v>6</v>
      </c>
      <c r="B4" s="33" t="s">
        <v>33</v>
      </c>
      <c r="D4" s="15" t="s">
        <v>22</v>
      </c>
      <c r="E4" s="15" t="s">
        <v>22</v>
      </c>
    </row>
    <row r="5" spans="2:5" ht="12.75">
      <c r="B5" s="33" t="s">
        <v>35</v>
      </c>
      <c r="C5" s="34" t="s">
        <v>139</v>
      </c>
      <c r="D5" s="15"/>
      <c r="E5" s="15"/>
    </row>
    <row r="6" spans="1:11" s="45" customFormat="1" ht="15">
      <c r="A6" s="75" t="s">
        <v>7</v>
      </c>
      <c r="B6" s="42" t="s">
        <v>34</v>
      </c>
      <c r="C6" s="39" t="s">
        <v>139</v>
      </c>
      <c r="D6" s="54" t="s">
        <v>178</v>
      </c>
      <c r="E6" s="54" t="s">
        <v>178</v>
      </c>
      <c r="F6" s="45">
        <v>2014</v>
      </c>
      <c r="G6" s="45">
        <v>2015</v>
      </c>
      <c r="H6" s="45">
        <v>2016</v>
      </c>
      <c r="I6" s="45" t="s">
        <v>205</v>
      </c>
      <c r="J6" s="45">
        <v>2018</v>
      </c>
      <c r="K6" s="45">
        <v>2019</v>
      </c>
    </row>
    <row r="7" spans="1:5" s="14" customFormat="1" ht="12.75">
      <c r="A7" s="77" t="s">
        <v>177</v>
      </c>
      <c r="B7" s="90"/>
      <c r="C7" s="91"/>
      <c r="D7" s="92" t="s">
        <v>203</v>
      </c>
      <c r="E7" s="92" t="s">
        <v>203</v>
      </c>
    </row>
    <row r="8" spans="1:11" s="14" customFormat="1" ht="12.75">
      <c r="A8" s="74" t="s">
        <v>8</v>
      </c>
      <c r="B8" s="239" t="s">
        <v>11</v>
      </c>
      <c r="C8" s="74" t="s">
        <v>168</v>
      </c>
      <c r="D8" s="97" t="s">
        <v>25</v>
      </c>
      <c r="E8" s="97" t="s">
        <v>25</v>
      </c>
      <c r="F8" s="126">
        <v>1.1</v>
      </c>
      <c r="G8" s="126">
        <v>2.5</v>
      </c>
      <c r="H8" s="126">
        <v>-1</v>
      </c>
      <c r="I8" s="126">
        <v>-0.5</v>
      </c>
      <c r="J8" s="126">
        <v>1.2</v>
      </c>
      <c r="K8" s="126">
        <v>-1.3</v>
      </c>
    </row>
    <row r="9" spans="1:11" s="14" customFormat="1" ht="12.75">
      <c r="A9" s="74" t="s">
        <v>8</v>
      </c>
      <c r="B9" s="239" t="s">
        <v>11</v>
      </c>
      <c r="C9" s="74" t="s">
        <v>168</v>
      </c>
      <c r="D9" s="97" t="s">
        <v>172</v>
      </c>
      <c r="E9" s="97" t="s">
        <v>172</v>
      </c>
      <c r="F9" s="126">
        <v>1.1</v>
      </c>
      <c r="G9" s="126">
        <v>2.2</v>
      </c>
      <c r="H9" s="126">
        <v>1.1</v>
      </c>
      <c r="I9" s="126">
        <v>-0.4</v>
      </c>
      <c r="J9" s="126">
        <v>1.2</v>
      </c>
      <c r="K9" s="126">
        <v>-1</v>
      </c>
    </row>
    <row r="10" spans="1:11" s="14" customFormat="1" ht="12.75">
      <c r="A10" s="74" t="s">
        <v>8</v>
      </c>
      <c r="B10" s="239" t="s">
        <v>11</v>
      </c>
      <c r="C10" s="74" t="s">
        <v>168</v>
      </c>
      <c r="D10" s="97" t="s">
        <v>169</v>
      </c>
      <c r="E10" s="97" t="s">
        <v>169</v>
      </c>
      <c r="F10" s="126">
        <v>3.2</v>
      </c>
      <c r="G10" s="126">
        <v>2.2</v>
      </c>
      <c r="H10" s="126">
        <v>5.2</v>
      </c>
      <c r="I10" s="126">
        <v>6.1</v>
      </c>
      <c r="J10" s="126">
        <v>3.6</v>
      </c>
      <c r="K10" s="126">
        <v>2.7</v>
      </c>
    </row>
    <row r="11" spans="1:11" s="14" customFormat="1" ht="15">
      <c r="A11" s="74" t="s">
        <v>8</v>
      </c>
      <c r="B11" s="240" t="s">
        <v>237</v>
      </c>
      <c r="C11" s="74" t="s">
        <v>168</v>
      </c>
      <c r="D11" s="97" t="s">
        <v>206</v>
      </c>
      <c r="E11" s="97" t="s">
        <v>206</v>
      </c>
      <c r="F11" s="126">
        <v>4.4</v>
      </c>
      <c r="G11" s="126">
        <v>4</v>
      </c>
      <c r="H11" s="126">
        <v>5.2</v>
      </c>
      <c r="I11" s="126">
        <v>6.1</v>
      </c>
      <c r="J11" s="126">
        <v>4.8</v>
      </c>
      <c r="K11" s="126">
        <v>3.8</v>
      </c>
    </row>
    <row r="12" spans="1:11" s="14" customFormat="1" ht="15">
      <c r="A12" s="74" t="s">
        <v>8</v>
      </c>
      <c r="B12" s="239" t="s">
        <v>11</v>
      </c>
      <c r="C12" s="74" t="s">
        <v>180</v>
      </c>
      <c r="D12" s="19" t="s">
        <v>592</v>
      </c>
      <c r="E12" s="19" t="s">
        <v>592</v>
      </c>
      <c r="F12" s="12">
        <v>0.5848311877580763</v>
      </c>
      <c r="G12" s="12">
        <v>0.42699100299900034</v>
      </c>
      <c r="H12" s="12">
        <v>0.02029541098207239</v>
      </c>
      <c r="I12" s="12">
        <v>0.009564964070693339</v>
      </c>
      <c r="J12" s="12">
        <v>0.08</v>
      </c>
      <c r="K12" s="12">
        <v>0.34</v>
      </c>
    </row>
    <row r="13" spans="1:11" s="14" customFormat="1" ht="15">
      <c r="A13" s="74" t="s">
        <v>8</v>
      </c>
      <c r="B13" s="239" t="s">
        <v>11</v>
      </c>
      <c r="C13" s="74" t="s">
        <v>168</v>
      </c>
      <c r="D13" s="19" t="s">
        <v>593</v>
      </c>
      <c r="E13" s="19" t="s">
        <v>593</v>
      </c>
      <c r="F13" s="11">
        <v>20.434864310433927</v>
      </c>
      <c r="G13" s="11">
        <v>17.29955078693081</v>
      </c>
      <c r="H13" s="11">
        <v>14.195623186132245</v>
      </c>
      <c r="I13" s="11">
        <v>17.5</v>
      </c>
      <c r="J13" s="11">
        <v>17.545921243907674</v>
      </c>
      <c r="K13" s="11">
        <v>22.270441375437162</v>
      </c>
    </row>
    <row r="14" spans="1:11" s="14" customFormat="1" ht="15">
      <c r="A14" s="74" t="s">
        <v>8</v>
      </c>
      <c r="B14" s="239" t="s">
        <v>11</v>
      </c>
      <c r="C14" s="74" t="s">
        <v>168</v>
      </c>
      <c r="D14" s="19" t="s">
        <v>594</v>
      </c>
      <c r="E14" s="19" t="s">
        <v>594</v>
      </c>
      <c r="F14" s="11">
        <v>11.215333782238995</v>
      </c>
      <c r="G14" s="11">
        <v>11.455741201564166</v>
      </c>
      <c r="H14" s="11">
        <v>10.524747038983449</v>
      </c>
      <c r="I14" s="11">
        <v>12.4</v>
      </c>
      <c r="J14" s="11">
        <v>13.350610328034875</v>
      </c>
      <c r="K14" s="11">
        <v>13.779899420519234</v>
      </c>
    </row>
    <row r="15" spans="1:11" s="14" customFormat="1" ht="15">
      <c r="A15" s="74" t="s">
        <v>8</v>
      </c>
      <c r="B15" s="239" t="s">
        <v>11</v>
      </c>
      <c r="C15" s="74" t="s">
        <v>168</v>
      </c>
      <c r="D15" s="19" t="s">
        <v>595</v>
      </c>
      <c r="E15" s="19" t="s">
        <v>595</v>
      </c>
      <c r="F15" s="11">
        <v>16.178612255124573</v>
      </c>
      <c r="G15" s="11">
        <v>14.33684516691982</v>
      </c>
      <c r="H15" s="11">
        <v>15.223154757235863</v>
      </c>
      <c r="I15" s="11">
        <v>17.5</v>
      </c>
      <c r="J15" s="11">
        <v>17.129094910288018</v>
      </c>
      <c r="K15" s="11">
        <v>17.73925918362137</v>
      </c>
    </row>
    <row r="16" spans="1:11" ht="12">
      <c r="A16" s="74" t="s">
        <v>8</v>
      </c>
      <c r="B16" s="239" t="s">
        <v>11</v>
      </c>
      <c r="C16" s="74"/>
      <c r="D16" s="19" t="s">
        <v>204</v>
      </c>
      <c r="E16" s="19" t="s">
        <v>204</v>
      </c>
      <c r="F16" s="11">
        <v>4.5</v>
      </c>
      <c r="G16" s="11">
        <v>5</v>
      </c>
      <c r="H16" s="11">
        <v>5.8</v>
      </c>
      <c r="I16" s="11">
        <v>5.9</v>
      </c>
      <c r="J16" s="11">
        <v>5.57</v>
      </c>
      <c r="K16" s="11">
        <v>4.5</v>
      </c>
    </row>
    <row r="17" spans="1:11" ht="12">
      <c r="A17" s="74" t="s">
        <v>8</v>
      </c>
      <c r="B17" s="239" t="s">
        <v>11</v>
      </c>
      <c r="C17" s="74" t="s">
        <v>168</v>
      </c>
      <c r="D17" s="19" t="s">
        <v>176</v>
      </c>
      <c r="E17" s="19" t="s">
        <v>176</v>
      </c>
      <c r="F17" s="11">
        <v>14.22962909981006</v>
      </c>
      <c r="G17" s="11">
        <v>11.03098011123542</v>
      </c>
      <c r="H17" s="11">
        <v>29.937491053108744</v>
      </c>
      <c r="I17" s="11">
        <v>36</v>
      </c>
      <c r="J17" s="11">
        <v>20.2</v>
      </c>
      <c r="K17" s="11">
        <v>12</v>
      </c>
    </row>
    <row r="18" spans="1:11" ht="14.25">
      <c r="A18" s="74" t="s">
        <v>8</v>
      </c>
      <c r="B18" s="239" t="s">
        <v>11</v>
      </c>
      <c r="C18" s="74" t="s">
        <v>168</v>
      </c>
      <c r="D18" s="19" t="s">
        <v>596</v>
      </c>
      <c r="E18" s="19" t="s">
        <v>596</v>
      </c>
      <c r="F18" s="11">
        <v>15.655768613046938</v>
      </c>
      <c r="G18" s="11">
        <v>9.932977739487388</v>
      </c>
      <c r="H18" s="11">
        <v>29.412919950771165</v>
      </c>
      <c r="I18" s="11">
        <v>31.9</v>
      </c>
      <c r="J18" s="11">
        <v>18.2</v>
      </c>
      <c r="K18" s="11">
        <v>11.4</v>
      </c>
    </row>
    <row r="19" spans="1:11" ht="12">
      <c r="A19" s="74" t="s">
        <v>8</v>
      </c>
      <c r="B19" s="239" t="s">
        <v>11</v>
      </c>
      <c r="C19" s="74" t="s">
        <v>180</v>
      </c>
      <c r="D19" s="19" t="s">
        <v>614</v>
      </c>
      <c r="E19" s="19" t="s">
        <v>614</v>
      </c>
      <c r="F19" s="12">
        <v>5.1625</v>
      </c>
      <c r="G19" s="12">
        <v>3.7536041939711664</v>
      </c>
      <c r="H19" s="12">
        <v>3.7536041939711664</v>
      </c>
      <c r="I19" s="12">
        <v>12.163461538461538</v>
      </c>
      <c r="J19" s="12">
        <v>7.4</v>
      </c>
      <c r="K19" s="12">
        <v>2.57</v>
      </c>
    </row>
    <row r="20" spans="1:11" ht="14.25">
      <c r="A20" s="74" t="s">
        <v>8</v>
      </c>
      <c r="B20" s="239" t="s">
        <v>11</v>
      </c>
      <c r="C20" s="74" t="s">
        <v>168</v>
      </c>
      <c r="D20" s="20" t="s">
        <v>617</v>
      </c>
      <c r="E20" s="20" t="s">
        <v>617</v>
      </c>
      <c r="F20" s="10">
        <v>11.30119018702939</v>
      </c>
      <c r="G20" s="10">
        <v>12.449720093302231</v>
      </c>
      <c r="H20" s="10">
        <v>10.531627015447063</v>
      </c>
      <c r="I20" s="10">
        <v>11.6</v>
      </c>
      <c r="J20" s="10">
        <v>11.2</v>
      </c>
      <c r="K20" s="10">
        <v>10.822184814388235</v>
      </c>
    </row>
    <row r="21" spans="1:3" ht="12">
      <c r="A21" s="74" t="s">
        <v>10</v>
      </c>
      <c r="B21" s="74"/>
      <c r="C21" s="74"/>
    </row>
    <row r="22" spans="1:5" ht="12">
      <c r="A22" s="74" t="s">
        <v>16</v>
      </c>
      <c r="B22" s="74"/>
      <c r="C22" s="74"/>
      <c r="D22" s="17" t="s">
        <v>207</v>
      </c>
      <c r="E22" s="17" t="s">
        <v>207</v>
      </c>
    </row>
    <row r="23" spans="1:5" ht="12">
      <c r="A23" s="74" t="s">
        <v>16</v>
      </c>
      <c r="B23" s="74"/>
      <c r="C23" s="74"/>
      <c r="D23" s="17" t="s">
        <v>210</v>
      </c>
      <c r="E23" s="17" t="s">
        <v>210</v>
      </c>
    </row>
    <row r="24" spans="1:5" ht="12">
      <c r="A24" s="74" t="s">
        <v>16</v>
      </c>
      <c r="B24" s="74"/>
      <c r="C24" s="74"/>
      <c r="D24" s="17" t="s">
        <v>615</v>
      </c>
      <c r="E24" s="17" t="s">
        <v>615</v>
      </c>
    </row>
    <row r="25" spans="1:5" ht="12">
      <c r="A25" s="74" t="s">
        <v>16</v>
      </c>
      <c r="D25" s="17" t="s">
        <v>597</v>
      </c>
      <c r="E25" s="17" t="s">
        <v>597</v>
      </c>
    </row>
    <row r="26" spans="1:5" ht="12">
      <c r="A26" s="74" t="s">
        <v>16</v>
      </c>
      <c r="D26" s="17" t="s">
        <v>616</v>
      </c>
      <c r="E26" s="17" t="s">
        <v>616</v>
      </c>
    </row>
    <row r="27" ht="12">
      <c r="A27" s="74" t="s">
        <v>10</v>
      </c>
    </row>
    <row r="28" spans="1:11" ht="112.5">
      <c r="A28" s="74" t="s">
        <v>619</v>
      </c>
      <c r="E28" s="63" t="s">
        <v>620</v>
      </c>
      <c r="F28" s="57"/>
      <c r="G28" s="57"/>
      <c r="H28" s="57"/>
      <c r="I28" s="57"/>
      <c r="J28" s="57"/>
      <c r="K28" s="57"/>
    </row>
  </sheetData>
  <sheetProtection/>
  <printOptions/>
  <pageMargins left="0.75" right="0.75" top="1" bottom="1" header="0.5" footer="0.5"/>
  <pageSetup fitToHeight="1" fitToWidth="1" horizontalDpi="600" verticalDpi="600" orientation="landscape" paperSize="8" r:id="rId1"/>
  <headerFooter alignWithMargins="0">
    <oddHeader>&amp;L&amp;D/&amp;F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Blad24">
    <pageSetUpPr fitToPage="1"/>
  </sheetPr>
  <dimension ref="A1:K14"/>
  <sheetViews>
    <sheetView zoomScaleSheetLayoutView="100" zoomScalePageLayoutView="0" workbookViewId="0" topLeftCell="A1">
      <selection activeCell="A14" sqref="A14:IV14"/>
    </sheetView>
  </sheetViews>
  <sheetFormatPr defaultColWidth="9.28125" defaultRowHeight="12.75"/>
  <cols>
    <col min="1" max="1" width="11.28125" style="69" bestFit="1" customWidth="1"/>
    <col min="2" max="2" width="12.28125" style="17" bestFit="1" customWidth="1"/>
    <col min="3" max="3" width="11.28125" style="17" bestFit="1" customWidth="1"/>
    <col min="4" max="4" width="23.421875" style="17" hidden="1" customWidth="1"/>
    <col min="5" max="5" width="54.00390625" style="17" customWidth="1"/>
    <col min="6" max="11" width="7.57421875" style="17" bestFit="1" customWidth="1"/>
    <col min="12" max="16384" width="9.28125" style="17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5">
      <c r="A4" s="74" t="s">
        <v>6</v>
      </c>
      <c r="B4" s="33" t="s">
        <v>33</v>
      </c>
      <c r="D4" s="16" t="s">
        <v>598</v>
      </c>
      <c r="E4" s="16" t="s">
        <v>598</v>
      </c>
    </row>
    <row r="5" spans="2:5" ht="12.75">
      <c r="B5" s="33" t="s">
        <v>35</v>
      </c>
      <c r="C5" s="34" t="s">
        <v>139</v>
      </c>
      <c r="D5" s="15"/>
      <c r="E5" s="15"/>
    </row>
    <row r="6" spans="1:11" s="45" customFormat="1" ht="12.75">
      <c r="A6" s="75" t="s">
        <v>7</v>
      </c>
      <c r="B6" s="42" t="s">
        <v>34</v>
      </c>
      <c r="C6" s="39" t="s">
        <v>139</v>
      </c>
      <c r="D6" s="54" t="s">
        <v>178</v>
      </c>
      <c r="E6" s="54" t="s">
        <v>178</v>
      </c>
      <c r="F6" s="45">
        <v>2014</v>
      </c>
      <c r="G6" s="45">
        <v>2015</v>
      </c>
      <c r="H6" s="45">
        <v>2016</v>
      </c>
      <c r="I6" s="45">
        <v>2017</v>
      </c>
      <c r="J6" s="45">
        <v>2018</v>
      </c>
      <c r="K6" s="45">
        <v>2019</v>
      </c>
    </row>
    <row r="7" spans="1:5" s="14" customFormat="1" ht="12.75">
      <c r="A7" s="77" t="s">
        <v>177</v>
      </c>
      <c r="B7" s="90"/>
      <c r="C7" s="91"/>
      <c r="D7" s="92" t="s">
        <v>163</v>
      </c>
      <c r="E7" s="92" t="s">
        <v>163</v>
      </c>
    </row>
    <row r="8" spans="1:11" ht="14.25">
      <c r="A8" s="74" t="s">
        <v>8</v>
      </c>
      <c r="B8" s="74"/>
      <c r="C8" s="74" t="s">
        <v>170</v>
      </c>
      <c r="D8" s="19" t="s">
        <v>125</v>
      </c>
      <c r="E8" s="19" t="s">
        <v>125</v>
      </c>
      <c r="F8" s="12">
        <v>7.831083323145706</v>
      </c>
      <c r="G8" s="12">
        <v>5.45</v>
      </c>
      <c r="H8" s="12">
        <v>15.64</v>
      </c>
      <c r="I8" s="12">
        <v>19.99</v>
      </c>
      <c r="J8" s="12">
        <v>13.24</v>
      </c>
      <c r="K8" s="12">
        <v>8.73</v>
      </c>
    </row>
    <row r="9" spans="1:11" ht="12">
      <c r="A9" s="74" t="s">
        <v>8</v>
      </c>
      <c r="B9" s="74"/>
      <c r="C9" s="74" t="s">
        <v>170</v>
      </c>
      <c r="D9" s="19" t="s">
        <v>24</v>
      </c>
      <c r="E9" s="19" t="s">
        <v>24</v>
      </c>
      <c r="F9" s="12">
        <v>57.516065940206765</v>
      </c>
      <c r="G9" s="12">
        <v>52.21000915110457</v>
      </c>
      <c r="H9" s="12">
        <v>61.718858733472516</v>
      </c>
      <c r="I9" s="12">
        <v>71.26</v>
      </c>
      <c r="J9" s="12">
        <v>75.67</v>
      </c>
      <c r="K9" s="12">
        <v>78.55</v>
      </c>
    </row>
    <row r="10" spans="1:11" ht="12">
      <c r="A10" s="74" t="s">
        <v>8</v>
      </c>
      <c r="B10" s="235" t="s">
        <v>237</v>
      </c>
      <c r="C10" s="74" t="s">
        <v>170</v>
      </c>
      <c r="D10" s="19" t="s">
        <v>162</v>
      </c>
      <c r="E10" s="19" t="s">
        <v>162</v>
      </c>
      <c r="F10" s="56">
        <v>6.5</v>
      </c>
      <c r="G10" s="56">
        <v>6.5</v>
      </c>
      <c r="H10" s="56">
        <v>7.5</v>
      </c>
      <c r="I10" s="56">
        <v>8.3</v>
      </c>
      <c r="J10" s="56">
        <v>8.5</v>
      </c>
      <c r="K10" s="56">
        <v>8.5</v>
      </c>
    </row>
    <row r="11" spans="1:3" ht="12">
      <c r="A11" s="74" t="s">
        <v>10</v>
      </c>
      <c r="B11" s="74"/>
      <c r="C11" s="74"/>
    </row>
    <row r="12" spans="1:5" ht="12">
      <c r="A12" s="74" t="s">
        <v>16</v>
      </c>
      <c r="B12" s="74"/>
      <c r="C12" s="74"/>
      <c r="D12" s="17" t="s">
        <v>585</v>
      </c>
      <c r="E12" s="17" t="s">
        <v>585</v>
      </c>
    </row>
    <row r="13" ht="12">
      <c r="A13" s="74" t="s">
        <v>10</v>
      </c>
    </row>
    <row r="14" spans="1:11" ht="112.5">
      <c r="A14" s="74" t="s">
        <v>619</v>
      </c>
      <c r="E14" s="63" t="s">
        <v>620</v>
      </c>
      <c r="F14" s="57"/>
      <c r="G14" s="57"/>
      <c r="H14" s="57"/>
      <c r="I14" s="57"/>
      <c r="J14" s="57"/>
      <c r="K14" s="57"/>
    </row>
  </sheetData>
  <sheetProtection/>
  <printOptions/>
  <pageMargins left="0.75" right="0.75" top="1" bottom="1" header="0.5" footer="0.5"/>
  <pageSetup fitToHeight="1" fitToWidth="1" horizontalDpi="600" verticalDpi="600" orientation="landscape" paperSize="8" r:id="rId1"/>
  <headerFooter alignWithMargins="0">
    <oddHeader>&amp;L&amp;D/&amp;F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5">
    <pageSetUpPr fitToPage="1"/>
  </sheetPr>
  <dimension ref="A1:M17"/>
  <sheetViews>
    <sheetView zoomScaleSheetLayoutView="100" zoomScalePageLayoutView="0" workbookViewId="0" topLeftCell="A1">
      <selection activeCell="A17" sqref="A17:IV17"/>
    </sheetView>
  </sheetViews>
  <sheetFormatPr defaultColWidth="9.28125" defaultRowHeight="12.75"/>
  <cols>
    <col min="1" max="1" width="11.28125" style="118" bestFit="1" customWidth="1"/>
    <col min="2" max="2" width="12.28125" style="102" bestFit="1" customWidth="1"/>
    <col min="3" max="3" width="11.28125" style="102" bestFit="1" customWidth="1"/>
    <col min="4" max="4" width="23.421875" style="102" hidden="1" customWidth="1"/>
    <col min="5" max="5" width="40.421875" style="102" bestFit="1" customWidth="1"/>
    <col min="6" max="16384" width="9.28125" style="102" customWidth="1"/>
  </cols>
  <sheetData>
    <row r="1" spans="1:5" ht="18">
      <c r="A1" s="71">
        <v>43861</v>
      </c>
      <c r="B1" s="98" t="s">
        <v>26</v>
      </c>
      <c r="C1" s="99"/>
      <c r="D1" s="100" t="s">
        <v>140</v>
      </c>
      <c r="E1" s="101" t="s">
        <v>140</v>
      </c>
    </row>
    <row r="2" spans="1:5" ht="12">
      <c r="A2" s="103"/>
      <c r="B2" s="98" t="s">
        <v>28</v>
      </c>
      <c r="C2" s="99"/>
      <c r="D2" s="104">
        <f>A1</f>
        <v>43861</v>
      </c>
      <c r="E2" s="105">
        <f>A1</f>
        <v>43861</v>
      </c>
    </row>
    <row r="3" spans="1:5" ht="24.75" customHeight="1">
      <c r="A3" s="103"/>
      <c r="B3" s="98" t="s">
        <v>29</v>
      </c>
      <c r="C3" s="99" t="s">
        <v>30</v>
      </c>
      <c r="D3" s="106" t="s">
        <v>31</v>
      </c>
      <c r="E3" s="107" t="s">
        <v>32</v>
      </c>
    </row>
    <row r="4" spans="1:5" ht="15">
      <c r="A4" s="108" t="s">
        <v>6</v>
      </c>
      <c r="B4" s="98" t="s">
        <v>33</v>
      </c>
      <c r="C4" s="109"/>
      <c r="D4" s="110" t="s">
        <v>599</v>
      </c>
      <c r="E4" s="110" t="s">
        <v>599</v>
      </c>
    </row>
    <row r="5" spans="1:5" ht="13.5">
      <c r="A5" s="108"/>
      <c r="B5" s="98" t="s">
        <v>35</v>
      </c>
      <c r="C5" s="109" t="s">
        <v>139</v>
      </c>
      <c r="D5" s="111"/>
      <c r="E5" s="111"/>
    </row>
    <row r="6" spans="1:11" s="117" customFormat="1" ht="12.75">
      <c r="A6" s="112" t="s">
        <v>7</v>
      </c>
      <c r="B6" s="113" t="s">
        <v>34</v>
      </c>
      <c r="C6" s="114" t="s">
        <v>139</v>
      </c>
      <c r="D6" s="115" t="s">
        <v>212</v>
      </c>
      <c r="E6" s="115" t="s">
        <v>212</v>
      </c>
      <c r="F6" s="116" t="s">
        <v>213</v>
      </c>
      <c r="G6" s="116" t="s">
        <v>214</v>
      </c>
      <c r="H6" s="116" t="s">
        <v>215</v>
      </c>
      <c r="I6" s="116" t="s">
        <v>216</v>
      </c>
      <c r="J6" s="116" t="s">
        <v>217</v>
      </c>
      <c r="K6" s="116" t="s">
        <v>603</v>
      </c>
    </row>
    <row r="7" spans="1:11" ht="13.5">
      <c r="A7" s="118" t="s">
        <v>8</v>
      </c>
      <c r="B7" s="118"/>
      <c r="C7" s="119"/>
      <c r="D7" s="111" t="s">
        <v>218</v>
      </c>
      <c r="E7" s="111" t="s">
        <v>218</v>
      </c>
      <c r="F7" s="120">
        <v>14704</v>
      </c>
      <c r="G7" s="120">
        <v>13096</v>
      </c>
      <c r="H7" s="120">
        <v>10202</v>
      </c>
      <c r="I7" s="120">
        <v>9537</v>
      </c>
      <c r="J7" s="120">
        <v>10260</v>
      </c>
      <c r="K7" s="120">
        <v>11856</v>
      </c>
    </row>
    <row r="8" spans="1:11" ht="13.5">
      <c r="A8" s="118" t="s">
        <v>8</v>
      </c>
      <c r="B8" s="118"/>
      <c r="C8" s="119"/>
      <c r="D8" s="111" t="s">
        <v>219</v>
      </c>
      <c r="E8" s="111" t="s">
        <v>219</v>
      </c>
      <c r="F8" s="120">
        <v>9835</v>
      </c>
      <c r="G8" s="120">
        <v>11199</v>
      </c>
      <c r="H8" s="120">
        <v>14011</v>
      </c>
      <c r="I8" s="120">
        <v>11974</v>
      </c>
      <c r="J8" s="120">
        <v>12249</v>
      </c>
      <c r="K8" s="120">
        <v>11189</v>
      </c>
    </row>
    <row r="9" spans="1:13" s="123" customFormat="1" ht="13.5">
      <c r="A9" s="121" t="s">
        <v>220</v>
      </c>
      <c r="B9" s="241" t="s">
        <v>237</v>
      </c>
      <c r="C9" s="119"/>
      <c r="D9" s="110" t="s">
        <v>160</v>
      </c>
      <c r="E9" s="110" t="s">
        <v>160</v>
      </c>
      <c r="F9" s="122">
        <v>4869</v>
      </c>
      <c r="G9" s="122">
        <v>1898</v>
      </c>
      <c r="H9" s="122">
        <v>-3809</v>
      </c>
      <c r="I9" s="122">
        <v>-2437</v>
      </c>
      <c r="J9" s="122">
        <v>-1989</v>
      </c>
      <c r="K9" s="122">
        <v>667</v>
      </c>
      <c r="L9" s="122"/>
      <c r="M9" s="122"/>
    </row>
    <row r="10" spans="1:11" ht="25.5">
      <c r="A10" s="118" t="s">
        <v>8</v>
      </c>
      <c r="B10" s="118"/>
      <c r="C10" s="119"/>
      <c r="D10" s="111" t="s">
        <v>221</v>
      </c>
      <c r="E10" s="111" t="s">
        <v>221</v>
      </c>
      <c r="F10" s="120">
        <v>4763</v>
      </c>
      <c r="G10" s="120">
        <v>4509</v>
      </c>
      <c r="H10" s="120">
        <v>4169</v>
      </c>
      <c r="I10" s="120">
        <v>2634</v>
      </c>
      <c r="J10" s="120">
        <v>3814</v>
      </c>
      <c r="K10" s="120">
        <v>3866</v>
      </c>
    </row>
    <row r="11" spans="1:11" ht="13.5">
      <c r="A11" s="118" t="s">
        <v>8</v>
      </c>
      <c r="B11" s="118"/>
      <c r="C11" s="119"/>
      <c r="D11" s="111" t="s">
        <v>604</v>
      </c>
      <c r="E11" s="111" t="s">
        <v>604</v>
      </c>
      <c r="F11" s="120"/>
      <c r="G11" s="120"/>
      <c r="H11" s="120"/>
      <c r="I11" s="120"/>
      <c r="J11" s="120"/>
      <c r="K11" s="120">
        <v>3150</v>
      </c>
    </row>
    <row r="12" spans="1:11" s="123" customFormat="1" ht="12.75">
      <c r="A12" s="121" t="s">
        <v>220</v>
      </c>
      <c r="B12" s="239" t="s">
        <v>11</v>
      </c>
      <c r="C12" s="121"/>
      <c r="D12" s="110" t="s">
        <v>159</v>
      </c>
      <c r="E12" s="110" t="s">
        <v>159</v>
      </c>
      <c r="F12" s="122">
        <v>9632</v>
      </c>
      <c r="G12" s="122">
        <v>6407</v>
      </c>
      <c r="H12" s="122">
        <v>360</v>
      </c>
      <c r="I12" s="122">
        <v>197</v>
      </c>
      <c r="J12" s="122">
        <v>1825</v>
      </c>
      <c r="K12" s="122">
        <v>7683</v>
      </c>
    </row>
    <row r="13" spans="1:11" ht="12">
      <c r="A13" s="118" t="s">
        <v>8</v>
      </c>
      <c r="B13" s="239" t="s">
        <v>11</v>
      </c>
      <c r="C13" s="118" t="s">
        <v>180</v>
      </c>
      <c r="D13" s="111" t="s">
        <v>126</v>
      </c>
      <c r="E13" s="111" t="s">
        <v>126</v>
      </c>
      <c r="F13" s="124">
        <v>0.5848311877580763</v>
      </c>
      <c r="G13" s="124">
        <v>0.42699100299900034</v>
      </c>
      <c r="H13" s="124">
        <v>0.02029541098207239</v>
      </c>
      <c r="I13" s="124">
        <v>0.009564964070693339</v>
      </c>
      <c r="J13" s="124">
        <f>+J12/'Financial_Position-Y'!J14</f>
        <v>0.083911903995586</v>
      </c>
      <c r="K13" s="124">
        <f>+K12/'Financial_Position-Y'!K14</f>
        <v>0.3403473022060778</v>
      </c>
    </row>
    <row r="14" spans="1:3" s="17" customFormat="1" ht="12">
      <c r="A14" s="74" t="s">
        <v>10</v>
      </c>
      <c r="B14" s="74"/>
      <c r="C14" s="74"/>
    </row>
    <row r="15" spans="1:5" s="17" customFormat="1" ht="12">
      <c r="A15" s="74" t="s">
        <v>16</v>
      </c>
      <c r="B15" s="74"/>
      <c r="C15" s="74"/>
      <c r="D15" s="17" t="s">
        <v>613</v>
      </c>
      <c r="E15" s="17" t="s">
        <v>613</v>
      </c>
    </row>
    <row r="16" spans="1:5" ht="12">
      <c r="A16" s="74" t="s">
        <v>10</v>
      </c>
      <c r="B16" s="17"/>
      <c r="C16" s="17"/>
      <c r="D16" s="17"/>
      <c r="E16" s="17"/>
    </row>
    <row r="17" spans="1:11" s="17" customFormat="1" ht="137.25">
      <c r="A17" s="74" t="s">
        <v>619</v>
      </c>
      <c r="E17" s="63" t="s">
        <v>620</v>
      </c>
      <c r="F17" s="57"/>
      <c r="G17" s="57"/>
      <c r="H17" s="57"/>
      <c r="I17" s="57"/>
      <c r="J17" s="57"/>
      <c r="K17" s="57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Blad26">
    <pageSetUpPr fitToPage="1"/>
  </sheetPr>
  <dimension ref="A1:K18"/>
  <sheetViews>
    <sheetView zoomScaleSheetLayoutView="100" zoomScalePageLayoutView="0" workbookViewId="0" topLeftCell="A1">
      <selection activeCell="A15" sqref="A15:IV15"/>
    </sheetView>
  </sheetViews>
  <sheetFormatPr defaultColWidth="9.28125" defaultRowHeight="12.75"/>
  <cols>
    <col min="1" max="1" width="11.28125" style="69" bestFit="1" customWidth="1"/>
    <col min="2" max="2" width="12.28125" style="17" bestFit="1" customWidth="1"/>
    <col min="3" max="3" width="11.28125" style="17" bestFit="1" customWidth="1"/>
    <col min="4" max="4" width="23.421875" style="17" hidden="1" customWidth="1"/>
    <col min="5" max="5" width="30.7109375" style="17" customWidth="1"/>
    <col min="6" max="16384" width="9.28125" style="17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+D2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5">
      <c r="A4" s="69" t="s">
        <v>6</v>
      </c>
      <c r="B4" s="33" t="s">
        <v>33</v>
      </c>
      <c r="D4" s="25" t="s">
        <v>600</v>
      </c>
      <c r="E4" s="25" t="s">
        <v>600</v>
      </c>
    </row>
    <row r="5" spans="2:5" ht="12.75">
      <c r="B5" s="33" t="s">
        <v>35</v>
      </c>
      <c r="D5" s="15"/>
      <c r="E5" s="15"/>
    </row>
    <row r="6" spans="1:11" s="18" customFormat="1" ht="12.75">
      <c r="A6" s="70" t="s">
        <v>7</v>
      </c>
      <c r="B6" s="42" t="s">
        <v>34</v>
      </c>
      <c r="C6" s="39"/>
      <c r="F6" s="31">
        <v>2014</v>
      </c>
      <c r="G6" s="31">
        <v>2015</v>
      </c>
      <c r="H6" s="31">
        <v>2016</v>
      </c>
      <c r="I6" s="31">
        <v>2017</v>
      </c>
      <c r="J6" s="31">
        <v>2018</v>
      </c>
      <c r="K6" s="31">
        <v>2019</v>
      </c>
    </row>
    <row r="7" spans="1:5" ht="12.75">
      <c r="A7" s="69" t="s">
        <v>7</v>
      </c>
      <c r="B7" s="69"/>
      <c r="C7" s="69"/>
      <c r="D7" s="15" t="s">
        <v>131</v>
      </c>
      <c r="E7" s="15" t="s">
        <v>131</v>
      </c>
    </row>
    <row r="8" spans="1:11" s="7" customFormat="1" ht="12">
      <c r="A8" s="69" t="s">
        <v>8</v>
      </c>
      <c r="B8" s="69"/>
      <c r="C8" s="69"/>
      <c r="D8" s="43" t="s">
        <v>127</v>
      </c>
      <c r="E8" s="43" t="s">
        <v>127</v>
      </c>
      <c r="F8" s="1" t="s">
        <v>133</v>
      </c>
      <c r="G8" s="1" t="s">
        <v>137</v>
      </c>
      <c r="H8" s="1" t="s">
        <v>184</v>
      </c>
      <c r="I8" s="1" t="s">
        <v>184</v>
      </c>
      <c r="J8" s="1" t="s">
        <v>184</v>
      </c>
      <c r="K8" s="1" t="s">
        <v>184</v>
      </c>
    </row>
    <row r="9" spans="1:11" s="7" customFormat="1" ht="12">
      <c r="A9" s="69" t="s">
        <v>8</v>
      </c>
      <c r="B9" s="69"/>
      <c r="C9" s="69"/>
      <c r="D9" s="43" t="s">
        <v>128</v>
      </c>
      <c r="E9" s="43" t="s">
        <v>128</v>
      </c>
      <c r="F9" s="3" t="s">
        <v>134</v>
      </c>
      <c r="G9" s="3" t="s">
        <v>134</v>
      </c>
      <c r="H9" s="3" t="s">
        <v>134</v>
      </c>
      <c r="I9" s="3" t="s">
        <v>134</v>
      </c>
      <c r="J9" s="3" t="s">
        <v>134</v>
      </c>
      <c r="K9" s="3" t="s">
        <v>134</v>
      </c>
    </row>
    <row r="10" spans="1:11" s="7" customFormat="1" ht="12">
      <c r="A10" s="69" t="s">
        <v>8</v>
      </c>
      <c r="B10" s="69"/>
      <c r="C10" s="69"/>
      <c r="D10" s="43" t="s">
        <v>129</v>
      </c>
      <c r="E10" s="43" t="s">
        <v>129</v>
      </c>
      <c r="F10" s="3" t="s">
        <v>135</v>
      </c>
      <c r="G10" s="3" t="s">
        <v>135</v>
      </c>
      <c r="H10" s="3" t="s">
        <v>135</v>
      </c>
      <c r="I10" s="3" t="s">
        <v>135</v>
      </c>
      <c r="J10" s="3" t="s">
        <v>135</v>
      </c>
      <c r="K10" s="3" t="s">
        <v>135</v>
      </c>
    </row>
    <row r="11" spans="1:11" s="7" customFormat="1" ht="12">
      <c r="A11" s="69" t="s">
        <v>8</v>
      </c>
      <c r="B11" s="69"/>
      <c r="C11" s="69"/>
      <c r="D11" s="43" t="s">
        <v>132</v>
      </c>
      <c r="E11" s="43" t="s">
        <v>132</v>
      </c>
      <c r="F11" s="1" t="s">
        <v>136</v>
      </c>
      <c r="G11" s="1" t="s">
        <v>155</v>
      </c>
      <c r="H11" s="1" t="s">
        <v>155</v>
      </c>
      <c r="I11" s="1" t="s">
        <v>155</v>
      </c>
      <c r="J11" s="1" t="s">
        <v>155</v>
      </c>
      <c r="K11" s="1" t="s">
        <v>155</v>
      </c>
    </row>
    <row r="12" spans="1:3" ht="12">
      <c r="A12" s="74" t="s">
        <v>10</v>
      </c>
      <c r="B12" s="74"/>
      <c r="C12" s="74"/>
    </row>
    <row r="13" spans="1:5" ht="12">
      <c r="A13" s="74" t="s">
        <v>16</v>
      </c>
      <c r="B13" s="74"/>
      <c r="C13" s="74"/>
      <c r="D13" s="17" t="s">
        <v>585</v>
      </c>
      <c r="E13" s="17" t="s">
        <v>585</v>
      </c>
    </row>
    <row r="14" ht="12">
      <c r="A14" s="74" t="s">
        <v>10</v>
      </c>
    </row>
    <row r="15" spans="1:11" ht="162">
      <c r="A15" s="74" t="s">
        <v>619</v>
      </c>
      <c r="E15" s="63" t="s">
        <v>620</v>
      </c>
      <c r="F15" s="57"/>
      <c r="G15" s="57"/>
      <c r="H15" s="57"/>
      <c r="I15" s="57"/>
      <c r="J15" s="57"/>
      <c r="K15" s="57"/>
    </row>
    <row r="16" s="102" customFormat="1" ht="12">
      <c r="A16" s="118"/>
    </row>
    <row r="17" s="102" customFormat="1" ht="12">
      <c r="A17" s="118"/>
    </row>
    <row r="18" s="102" customFormat="1" ht="12">
      <c r="A18" s="118"/>
    </row>
  </sheetData>
  <sheetProtection/>
  <printOptions/>
  <pageMargins left="0.75" right="0.75" top="1" bottom="1" header="0.5" footer="0.5"/>
  <pageSetup fitToHeight="3" fitToWidth="1" horizontalDpi="600" verticalDpi="600" orientation="portrait" paperSize="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Blad27"/>
  <dimension ref="A1:K13"/>
  <sheetViews>
    <sheetView zoomScalePageLayoutView="0" workbookViewId="0" topLeftCell="A1">
      <selection activeCell="A13" sqref="A13:IV13"/>
    </sheetView>
  </sheetViews>
  <sheetFormatPr defaultColWidth="9.28125" defaultRowHeight="12.75"/>
  <cols>
    <col min="1" max="1" width="12.421875" style="74" bestFit="1" customWidth="1"/>
    <col min="2" max="2" width="12.28125" style="28" bestFit="1" customWidth="1"/>
    <col min="3" max="3" width="11.28125" style="28" customWidth="1"/>
    <col min="4" max="4" width="45.7109375" style="28" hidden="1" customWidth="1"/>
    <col min="5" max="5" width="37.7109375" style="28" customWidth="1"/>
    <col min="6" max="11" width="11.57421875" style="57" customWidth="1"/>
    <col min="12" max="16384" width="9.28125" style="17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50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6">
        <f>A1</f>
        <v>43861</v>
      </c>
    </row>
    <row r="3" spans="1:11" ht="12.75">
      <c r="A3" s="72"/>
      <c r="B3" s="33" t="s">
        <v>29</v>
      </c>
      <c r="C3" s="34" t="s">
        <v>30</v>
      </c>
      <c r="D3" s="38" t="s">
        <v>31</v>
      </c>
      <c r="E3" s="93" t="s">
        <v>32</v>
      </c>
      <c r="F3" s="40"/>
      <c r="G3" s="40"/>
      <c r="H3" s="40"/>
      <c r="I3" s="40"/>
      <c r="J3" s="40"/>
      <c r="K3" s="40"/>
    </row>
    <row r="4" spans="1:11" ht="25.5">
      <c r="A4" s="69" t="s">
        <v>6</v>
      </c>
      <c r="B4" s="33" t="s">
        <v>33</v>
      </c>
      <c r="C4" s="29"/>
      <c r="D4" s="41" t="s">
        <v>179</v>
      </c>
      <c r="E4" s="41" t="s">
        <v>179</v>
      </c>
      <c r="F4" s="62"/>
      <c r="G4" s="62"/>
      <c r="H4" s="62"/>
      <c r="I4" s="62"/>
      <c r="J4" s="62"/>
      <c r="K4" s="62"/>
    </row>
    <row r="5" spans="1:11" ht="13.5">
      <c r="A5" s="76"/>
      <c r="B5" s="33" t="s">
        <v>35</v>
      </c>
      <c r="C5" s="23" t="s">
        <v>139</v>
      </c>
      <c r="F5" s="62"/>
      <c r="G5" s="62"/>
      <c r="H5" s="62"/>
      <c r="I5" s="62"/>
      <c r="J5" s="62"/>
      <c r="K5" s="62"/>
    </row>
    <row r="6" spans="1:11" s="18" customFormat="1" ht="12.75">
      <c r="A6" s="87" t="s">
        <v>7</v>
      </c>
      <c r="B6" s="42" t="s">
        <v>34</v>
      </c>
      <c r="C6" s="39" t="s">
        <v>139</v>
      </c>
      <c r="D6" s="247" t="s">
        <v>605</v>
      </c>
      <c r="E6" s="247" t="s">
        <v>605</v>
      </c>
      <c r="F6" s="67" t="s">
        <v>609</v>
      </c>
      <c r="G6" s="67" t="s">
        <v>606</v>
      </c>
      <c r="H6" s="67" t="s">
        <v>607</v>
      </c>
      <c r="I6" s="67">
        <v>2023</v>
      </c>
      <c r="J6" s="67" t="s">
        <v>608</v>
      </c>
      <c r="K6" s="67" t="s">
        <v>618</v>
      </c>
    </row>
    <row r="7" spans="1:11" s="14" customFormat="1" ht="13.5">
      <c r="A7" s="68" t="s">
        <v>177</v>
      </c>
      <c r="B7" s="80"/>
      <c r="C7" s="88"/>
      <c r="D7" s="14" t="s">
        <v>3</v>
      </c>
      <c r="E7" s="14" t="s">
        <v>3</v>
      </c>
      <c r="F7" s="89"/>
      <c r="G7" s="89"/>
      <c r="H7" s="89"/>
      <c r="I7" s="89"/>
      <c r="J7" s="89"/>
      <c r="K7" s="89"/>
    </row>
    <row r="8" spans="1:11" ht="13.5">
      <c r="A8" s="69" t="s">
        <v>8</v>
      </c>
      <c r="B8" s="79"/>
      <c r="C8" s="29"/>
      <c r="D8" s="63" t="s">
        <v>164</v>
      </c>
      <c r="E8" s="63" t="s">
        <v>164</v>
      </c>
      <c r="F8" s="130" t="s">
        <v>2</v>
      </c>
      <c r="G8" s="130">
        <v>0</v>
      </c>
      <c r="H8" s="130">
        <v>1260</v>
      </c>
      <c r="I8" s="130">
        <v>1004</v>
      </c>
      <c r="J8" s="130">
        <v>2857</v>
      </c>
      <c r="K8" s="130">
        <v>681</v>
      </c>
    </row>
    <row r="9" spans="1:11" ht="13.5">
      <c r="A9" s="69" t="s">
        <v>8</v>
      </c>
      <c r="B9" s="79"/>
      <c r="C9" s="29"/>
      <c r="D9" s="63" t="s">
        <v>165</v>
      </c>
      <c r="E9" s="63" t="s">
        <v>165</v>
      </c>
      <c r="F9" s="130" t="s">
        <v>2</v>
      </c>
      <c r="G9" s="130">
        <v>1950</v>
      </c>
      <c r="H9" s="130">
        <v>108</v>
      </c>
      <c r="I9" s="130">
        <v>108</v>
      </c>
      <c r="J9" s="130">
        <v>108</v>
      </c>
      <c r="K9" s="130">
        <v>160</v>
      </c>
    </row>
    <row r="10" spans="1:11" ht="12">
      <c r="A10" s="74" t="s">
        <v>8</v>
      </c>
      <c r="B10" s="74"/>
      <c r="D10" s="63" t="s">
        <v>166</v>
      </c>
      <c r="E10" s="63" t="s">
        <v>166</v>
      </c>
      <c r="F10" s="65">
        <v>1446</v>
      </c>
      <c r="G10" s="65" t="s">
        <v>2</v>
      </c>
      <c r="H10" s="65" t="s">
        <v>2</v>
      </c>
      <c r="I10" s="65" t="s">
        <v>2</v>
      </c>
      <c r="J10" s="65" t="s">
        <v>2</v>
      </c>
      <c r="K10" s="65" t="s">
        <v>2</v>
      </c>
    </row>
    <row r="11" spans="1:11" ht="12.75">
      <c r="A11" s="69" t="s">
        <v>1</v>
      </c>
      <c r="B11" s="74"/>
      <c r="D11" s="41" t="s">
        <v>1</v>
      </c>
      <c r="E11" s="41" t="s">
        <v>1</v>
      </c>
      <c r="F11" s="64">
        <f aca="true" t="shared" si="0" ref="F11:K11">SUM(F8:F10)</f>
        <v>1446</v>
      </c>
      <c r="G11" s="64">
        <f t="shared" si="0"/>
        <v>1950</v>
      </c>
      <c r="H11" s="64">
        <f t="shared" si="0"/>
        <v>1368</v>
      </c>
      <c r="I11" s="64">
        <f t="shared" si="0"/>
        <v>1112</v>
      </c>
      <c r="J11" s="64">
        <f t="shared" si="0"/>
        <v>2965</v>
      </c>
      <c r="K11" s="64">
        <f t="shared" si="0"/>
        <v>841</v>
      </c>
    </row>
    <row r="12" spans="1:5" ht="12">
      <c r="A12" s="74" t="s">
        <v>10</v>
      </c>
      <c r="B12" s="17"/>
      <c r="C12" s="17"/>
      <c r="D12" s="17"/>
      <c r="E12" s="17"/>
    </row>
    <row r="13" spans="1:5" ht="137.25">
      <c r="A13" s="74" t="s">
        <v>619</v>
      </c>
      <c r="B13" s="17"/>
      <c r="C13" s="17"/>
      <c r="D13" s="17"/>
      <c r="E13" s="63" t="s">
        <v>620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Q22"/>
  <sheetViews>
    <sheetView zoomScale="90" zoomScaleNormal="90" zoomScaleSheetLayoutView="100" zoomScalePageLayoutView="0" workbookViewId="0" topLeftCell="A1">
      <selection activeCell="A22" sqref="A22:IV22"/>
    </sheetView>
  </sheetViews>
  <sheetFormatPr defaultColWidth="9.28125" defaultRowHeight="12.75"/>
  <cols>
    <col min="1" max="1" width="11.28125" style="69" bestFit="1" customWidth="1"/>
    <col min="2" max="2" width="12.28125" style="17" bestFit="1" customWidth="1"/>
    <col min="3" max="3" width="11.28125" style="17" bestFit="1" customWidth="1"/>
    <col min="4" max="4" width="24.57421875" style="17" hidden="1" customWidth="1"/>
    <col min="5" max="5" width="71.8515625" style="17" bestFit="1" customWidth="1"/>
    <col min="6" max="17" width="8.00390625" style="17" bestFit="1" customWidth="1"/>
    <col min="18" max="16384" width="9.28125" style="17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17" ht="12.75">
      <c r="A4" s="74" t="s">
        <v>6</v>
      </c>
      <c r="B4" s="33" t="s">
        <v>33</v>
      </c>
      <c r="D4" s="16" t="s">
        <v>115</v>
      </c>
      <c r="E4" s="16" t="s">
        <v>115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3" ht="12">
      <c r="B5" s="33" t="s">
        <v>35</v>
      </c>
      <c r="C5" s="34" t="s">
        <v>139</v>
      </c>
    </row>
    <row r="6" spans="1:17" s="45" customFormat="1" ht="12.75">
      <c r="A6" s="75" t="s">
        <v>7</v>
      </c>
      <c r="B6" s="42" t="s">
        <v>34</v>
      </c>
      <c r="C6" s="39" t="s">
        <v>139</v>
      </c>
      <c r="D6" s="51" t="s">
        <v>4</v>
      </c>
      <c r="E6" s="51" t="s">
        <v>4</v>
      </c>
      <c r="F6" s="31" t="s">
        <v>185</v>
      </c>
      <c r="G6" s="31" t="s">
        <v>186</v>
      </c>
      <c r="H6" s="31" t="s">
        <v>187</v>
      </c>
      <c r="I6" s="31" t="s">
        <v>188</v>
      </c>
      <c r="J6" s="31" t="s">
        <v>189</v>
      </c>
      <c r="K6" s="31" t="s">
        <v>190</v>
      </c>
      <c r="L6" s="31" t="s">
        <v>191</v>
      </c>
      <c r="M6" s="31" t="s">
        <v>192</v>
      </c>
      <c r="N6" s="31" t="s">
        <v>230</v>
      </c>
      <c r="O6" s="31" t="s">
        <v>574</v>
      </c>
      <c r="P6" s="31" t="s">
        <v>575</v>
      </c>
      <c r="Q6" s="31" t="s">
        <v>601</v>
      </c>
    </row>
    <row r="7" spans="1:5" s="14" customFormat="1" ht="12.75">
      <c r="A7" s="77" t="s">
        <v>177</v>
      </c>
      <c r="B7" s="90"/>
      <c r="C7" s="91"/>
      <c r="D7" s="92" t="s">
        <v>163</v>
      </c>
      <c r="E7" s="92" t="s">
        <v>163</v>
      </c>
    </row>
    <row r="8" spans="1:17" ht="12">
      <c r="A8" s="74" t="s">
        <v>8</v>
      </c>
      <c r="B8" s="95" t="s">
        <v>11</v>
      </c>
      <c r="C8" s="74"/>
      <c r="D8" s="19" t="s">
        <v>116</v>
      </c>
      <c r="E8" s="19" t="s">
        <v>116</v>
      </c>
      <c r="F8" s="8">
        <v>28201</v>
      </c>
      <c r="G8" s="8">
        <v>30948</v>
      </c>
      <c r="H8" s="8">
        <v>29042</v>
      </c>
      <c r="I8" s="8">
        <v>32580</v>
      </c>
      <c r="J8" s="8">
        <v>25988</v>
      </c>
      <c r="K8" s="8">
        <v>29145</v>
      </c>
      <c r="L8" s="8">
        <v>28309</v>
      </c>
      <c r="M8" s="8">
        <v>32021</v>
      </c>
      <c r="N8" s="8">
        <v>27408</v>
      </c>
      <c r="O8" s="8">
        <v>29232</v>
      </c>
      <c r="P8" s="8">
        <v>30330</v>
      </c>
      <c r="Q8" s="8">
        <v>32011</v>
      </c>
    </row>
    <row r="9" spans="1:17" ht="12">
      <c r="A9" s="74" t="s">
        <v>8</v>
      </c>
      <c r="B9" s="95" t="s">
        <v>11</v>
      </c>
      <c r="C9" s="74" t="s">
        <v>168</v>
      </c>
      <c r="D9" s="231" t="s">
        <v>193</v>
      </c>
      <c r="E9" s="231" t="s">
        <v>193</v>
      </c>
      <c r="F9" s="11">
        <v>-3.2</v>
      </c>
      <c r="G9" s="11">
        <v>1.2</v>
      </c>
      <c r="H9" s="11">
        <v>-1.7</v>
      </c>
      <c r="I9" s="11">
        <v>5.4</v>
      </c>
      <c r="J9" s="11">
        <v>3</v>
      </c>
      <c r="K9" s="11">
        <v>0.3</v>
      </c>
      <c r="L9" s="11">
        <v>0.3</v>
      </c>
      <c r="M9" s="11">
        <v>1.9</v>
      </c>
      <c r="N9" s="11">
        <v>0.6</v>
      </c>
      <c r="O9" s="11">
        <v>-3.6</v>
      </c>
      <c r="P9" s="11">
        <v>1.2</v>
      </c>
      <c r="Q9" s="11">
        <v>-2.8</v>
      </c>
    </row>
    <row r="10" spans="1:17" ht="12">
      <c r="A10" s="74" t="s">
        <v>8</v>
      </c>
      <c r="B10" s="95" t="s">
        <v>11</v>
      </c>
      <c r="C10" s="74" t="s">
        <v>168</v>
      </c>
      <c r="D10" s="19" t="s">
        <v>182</v>
      </c>
      <c r="E10" s="19" t="s">
        <v>182</v>
      </c>
      <c r="F10" s="22">
        <v>-2.8</v>
      </c>
      <c r="G10" s="22">
        <v>0</v>
      </c>
      <c r="H10" s="22">
        <v>-3.2</v>
      </c>
      <c r="I10" s="22">
        <v>4</v>
      </c>
      <c r="J10" s="22">
        <v>1.9</v>
      </c>
      <c r="K10" s="22">
        <v>-0.1</v>
      </c>
      <c r="L10" s="22">
        <v>0.8</v>
      </c>
      <c r="M10" s="22">
        <v>2.6</v>
      </c>
      <c r="N10" s="22">
        <v>1.2</v>
      </c>
      <c r="O10" s="22">
        <v>-3.1</v>
      </c>
      <c r="P10" s="22">
        <v>1.4</v>
      </c>
      <c r="Q10" s="22">
        <v>-2.8</v>
      </c>
    </row>
    <row r="11" spans="1:17" ht="12">
      <c r="A11" s="74" t="s">
        <v>8</v>
      </c>
      <c r="B11" s="74"/>
      <c r="C11" s="74"/>
      <c r="D11" s="19" t="s">
        <v>117</v>
      </c>
      <c r="E11" s="19" t="s">
        <v>117</v>
      </c>
      <c r="F11" s="8">
        <v>996</v>
      </c>
      <c r="G11" s="8">
        <v>994</v>
      </c>
      <c r="H11" s="8">
        <v>974</v>
      </c>
      <c r="I11" s="8">
        <v>1013</v>
      </c>
      <c r="J11" s="8">
        <v>968</v>
      </c>
      <c r="K11" s="8">
        <v>1013</v>
      </c>
      <c r="L11" s="8">
        <v>966</v>
      </c>
      <c r="M11" s="8">
        <v>1033</v>
      </c>
      <c r="N11" s="8">
        <v>1165</v>
      </c>
      <c r="O11" s="8">
        <v>1172</v>
      </c>
      <c r="P11" s="8">
        <v>1270</v>
      </c>
      <c r="Q11" s="8">
        <v>1214</v>
      </c>
    </row>
    <row r="12" spans="1:17" ht="12">
      <c r="A12" s="74" t="s">
        <v>8</v>
      </c>
      <c r="B12" s="74"/>
      <c r="C12" s="74"/>
      <c r="D12" s="231" t="s">
        <v>195</v>
      </c>
      <c r="E12" s="231" t="s">
        <v>195</v>
      </c>
      <c r="F12" s="8">
        <v>1442</v>
      </c>
      <c r="G12" s="8">
        <v>1919</v>
      </c>
      <c r="H12" s="8">
        <v>1981</v>
      </c>
      <c r="I12" s="8">
        <v>2065</v>
      </c>
      <c r="J12" s="8">
        <v>1123</v>
      </c>
      <c r="K12" s="8">
        <v>1321</v>
      </c>
      <c r="L12" s="8">
        <v>1476</v>
      </c>
      <c r="M12" s="8">
        <v>1599</v>
      </c>
      <c r="N12" s="8">
        <v>1001</v>
      </c>
      <c r="O12" s="8">
        <v>1219</v>
      </c>
      <c r="P12" s="8">
        <v>1353</v>
      </c>
      <c r="Q12" s="8">
        <v>960</v>
      </c>
    </row>
    <row r="13" spans="1:17" ht="12">
      <c r="A13" s="74" t="s">
        <v>8</v>
      </c>
      <c r="B13" s="235" t="s">
        <v>237</v>
      </c>
      <c r="C13" s="74" t="s">
        <v>168</v>
      </c>
      <c r="D13" s="231" t="s">
        <v>196</v>
      </c>
      <c r="E13" s="231" t="s">
        <v>196</v>
      </c>
      <c r="F13" s="11">
        <v>5.1</v>
      </c>
      <c r="G13" s="11">
        <v>6.2</v>
      </c>
      <c r="H13" s="11">
        <v>6.8</v>
      </c>
      <c r="I13" s="11">
        <v>6.3</v>
      </c>
      <c r="J13" s="11">
        <v>4.3</v>
      </c>
      <c r="K13" s="11">
        <v>4.5</v>
      </c>
      <c r="L13" s="11">
        <v>5.2</v>
      </c>
      <c r="M13" s="11">
        <v>5</v>
      </c>
      <c r="N13" s="11">
        <v>3.7</v>
      </c>
      <c r="O13" s="11">
        <v>4.2</v>
      </c>
      <c r="P13" s="11">
        <v>4.5</v>
      </c>
      <c r="Q13" s="11">
        <v>3</v>
      </c>
    </row>
    <row r="14" spans="1:17" ht="14.25">
      <c r="A14" s="74" t="s">
        <v>8</v>
      </c>
      <c r="B14" s="74"/>
      <c r="C14" s="74"/>
      <c r="D14" s="19" t="s">
        <v>194</v>
      </c>
      <c r="E14" s="19" t="s">
        <v>194</v>
      </c>
      <c r="F14" s="66">
        <v>0</v>
      </c>
      <c r="G14" s="66">
        <v>0</v>
      </c>
      <c r="H14" s="66">
        <v>0</v>
      </c>
      <c r="I14" s="66">
        <v>0</v>
      </c>
      <c r="J14" s="66">
        <v>-596</v>
      </c>
      <c r="K14" s="66">
        <v>-818</v>
      </c>
      <c r="L14" s="66">
        <v>0</v>
      </c>
      <c r="M14" s="66">
        <v>71</v>
      </c>
      <c r="N14" s="66">
        <v>0</v>
      </c>
      <c r="O14" s="66">
        <v>0</v>
      </c>
      <c r="P14" s="66">
        <v>-290</v>
      </c>
      <c r="Q14" s="66">
        <v>0</v>
      </c>
    </row>
    <row r="15" spans="1:17" ht="12">
      <c r="A15" s="74" t="s">
        <v>8</v>
      </c>
      <c r="D15" s="19" t="s">
        <v>118</v>
      </c>
      <c r="E15" s="19" t="s">
        <v>118</v>
      </c>
      <c r="F15" s="8">
        <v>1442</v>
      </c>
      <c r="G15" s="8">
        <v>1919</v>
      </c>
      <c r="H15" s="8">
        <v>1981</v>
      </c>
      <c r="I15" s="8">
        <v>2065</v>
      </c>
      <c r="J15" s="8">
        <v>527</v>
      </c>
      <c r="K15" s="8">
        <v>503</v>
      </c>
      <c r="L15" s="8">
        <v>1476</v>
      </c>
      <c r="M15" s="8">
        <v>1670</v>
      </c>
      <c r="N15" s="8">
        <v>-53</v>
      </c>
      <c r="O15" s="8">
        <v>1219</v>
      </c>
      <c r="P15" s="8">
        <v>1063</v>
      </c>
      <c r="Q15" s="8">
        <v>960</v>
      </c>
    </row>
    <row r="16" spans="1:17" ht="12">
      <c r="A16" s="74" t="s">
        <v>8</v>
      </c>
      <c r="B16" s="95" t="s">
        <v>11</v>
      </c>
      <c r="C16" s="74" t="s">
        <v>168</v>
      </c>
      <c r="D16" s="19" t="s">
        <v>183</v>
      </c>
      <c r="E16" s="19" t="s">
        <v>183</v>
      </c>
      <c r="F16" s="22">
        <v>5.1</v>
      </c>
      <c r="G16" s="22">
        <v>6.2</v>
      </c>
      <c r="H16" s="22">
        <v>6.8</v>
      </c>
      <c r="I16" s="22">
        <v>6.3</v>
      </c>
      <c r="J16" s="22">
        <v>2</v>
      </c>
      <c r="K16" s="22">
        <v>1.7</v>
      </c>
      <c r="L16" s="22">
        <v>5.2</v>
      </c>
      <c r="M16" s="22">
        <v>5.2</v>
      </c>
      <c r="N16" s="22">
        <v>-0.2</v>
      </c>
      <c r="O16" s="22">
        <v>4.2</v>
      </c>
      <c r="P16" s="22">
        <v>3.5</v>
      </c>
      <c r="Q16" s="22">
        <v>3</v>
      </c>
    </row>
    <row r="17" spans="1:17" ht="12">
      <c r="A17" s="74" t="s">
        <v>8</v>
      </c>
      <c r="B17" s="74"/>
      <c r="C17" s="74"/>
      <c r="D17" s="19" t="s">
        <v>119</v>
      </c>
      <c r="E17" s="19" t="s">
        <v>119</v>
      </c>
      <c r="F17" s="8">
        <v>1340</v>
      </c>
      <c r="G17" s="8">
        <v>1730</v>
      </c>
      <c r="H17" s="8">
        <v>1895</v>
      </c>
      <c r="I17" s="8">
        <v>2001</v>
      </c>
      <c r="J17" s="8">
        <v>435</v>
      </c>
      <c r="K17" s="8">
        <v>426</v>
      </c>
      <c r="L17" s="8">
        <v>1356</v>
      </c>
      <c r="M17" s="8">
        <v>1537</v>
      </c>
      <c r="N17" s="8">
        <v>-209</v>
      </c>
      <c r="O17" s="8">
        <v>1041</v>
      </c>
      <c r="P17" s="8">
        <v>888</v>
      </c>
      <c r="Q17" s="8">
        <v>736</v>
      </c>
    </row>
    <row r="18" spans="1:17" ht="12">
      <c r="A18" s="74" t="s">
        <v>8</v>
      </c>
      <c r="B18" s="74"/>
      <c r="C18" s="74"/>
      <c r="D18" s="19" t="s">
        <v>0</v>
      </c>
      <c r="E18" s="19" t="s">
        <v>0</v>
      </c>
      <c r="F18" s="8">
        <v>1012</v>
      </c>
      <c r="G18" s="8">
        <v>1291</v>
      </c>
      <c r="H18" s="8">
        <v>1440</v>
      </c>
      <c r="I18" s="8">
        <v>2002</v>
      </c>
      <c r="J18" s="8">
        <v>551</v>
      </c>
      <c r="K18" s="8">
        <v>517</v>
      </c>
      <c r="L18" s="8">
        <v>1162</v>
      </c>
      <c r="M18" s="8">
        <v>1575</v>
      </c>
      <c r="N18" s="8">
        <v>79</v>
      </c>
      <c r="O18" s="8">
        <v>1132</v>
      </c>
      <c r="P18" s="8">
        <v>739</v>
      </c>
      <c r="Q18" s="8">
        <v>559</v>
      </c>
    </row>
    <row r="19" spans="1:3" ht="12">
      <c r="A19" s="74" t="s">
        <v>10</v>
      </c>
      <c r="B19" s="74"/>
      <c r="C19" s="74"/>
    </row>
    <row r="20" spans="1:5" ht="12">
      <c r="A20" s="74" t="s">
        <v>16</v>
      </c>
      <c r="B20" s="74"/>
      <c r="C20" s="74"/>
      <c r="D20" s="231" t="s">
        <v>209</v>
      </c>
      <c r="E20" s="231" t="s">
        <v>209</v>
      </c>
    </row>
    <row r="21" ht="12">
      <c r="A21" s="69" t="s">
        <v>10</v>
      </c>
    </row>
    <row r="22" spans="1:11" ht="75">
      <c r="A22" s="74" t="s">
        <v>619</v>
      </c>
      <c r="E22" s="63" t="s">
        <v>620</v>
      </c>
      <c r="F22" s="57"/>
      <c r="G22" s="57"/>
      <c r="H22" s="57"/>
      <c r="I22" s="57"/>
      <c r="J22" s="57"/>
      <c r="K22" s="5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&amp;L&amp;D/&amp;F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R20"/>
  <sheetViews>
    <sheetView zoomScaleSheetLayoutView="120" zoomScalePageLayoutView="0" workbookViewId="0" topLeftCell="A1">
      <selection activeCell="A20" sqref="A20:IV20"/>
    </sheetView>
  </sheetViews>
  <sheetFormatPr defaultColWidth="9.28125" defaultRowHeight="12.75"/>
  <cols>
    <col min="1" max="1" width="12.00390625" style="17" bestFit="1" customWidth="1"/>
    <col min="2" max="2" width="12.28125" style="17" customWidth="1"/>
    <col min="3" max="3" width="11.28125" style="17" customWidth="1"/>
    <col min="4" max="4" width="27.57421875" style="17" hidden="1" customWidth="1"/>
    <col min="5" max="5" width="25.7109375" style="17" bestFit="1" customWidth="1"/>
    <col min="6" max="16384" width="9.28125" style="17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2.75">
      <c r="A4" s="69" t="s">
        <v>6</v>
      </c>
      <c r="B4" s="33" t="s">
        <v>33</v>
      </c>
      <c r="D4" s="25" t="s">
        <v>154</v>
      </c>
      <c r="E4" s="25" t="s">
        <v>154</v>
      </c>
    </row>
    <row r="5" spans="1:5" ht="12.75">
      <c r="A5" s="69"/>
      <c r="B5" s="33" t="s">
        <v>35</v>
      </c>
      <c r="C5" s="34"/>
      <c r="D5" s="15"/>
      <c r="E5" s="15"/>
    </row>
    <row r="6" spans="1:18" s="18" customFormat="1" ht="12.75">
      <c r="A6" s="70" t="s">
        <v>7</v>
      </c>
      <c r="B6" s="42" t="s">
        <v>34</v>
      </c>
      <c r="C6" s="39"/>
      <c r="D6" s="51" t="s">
        <v>4</v>
      </c>
      <c r="E6" s="51" t="s">
        <v>4</v>
      </c>
      <c r="F6" s="31" t="s">
        <v>185</v>
      </c>
      <c r="G6" s="31" t="s">
        <v>186</v>
      </c>
      <c r="H6" s="31" t="s">
        <v>187</v>
      </c>
      <c r="I6" s="31" t="s">
        <v>188</v>
      </c>
      <c r="J6" s="31" t="s">
        <v>189</v>
      </c>
      <c r="K6" s="31" t="s">
        <v>190</v>
      </c>
      <c r="L6" s="31" t="s">
        <v>191</v>
      </c>
      <c r="M6" s="31" t="s">
        <v>192</v>
      </c>
      <c r="N6" s="31" t="s">
        <v>230</v>
      </c>
      <c r="O6" s="31" t="s">
        <v>574</v>
      </c>
      <c r="P6" s="31" t="s">
        <v>575</v>
      </c>
      <c r="Q6" s="31" t="s">
        <v>601</v>
      </c>
      <c r="R6" s="31"/>
    </row>
    <row r="7" spans="1:5" s="14" customFormat="1" ht="12.75">
      <c r="A7" s="68" t="s">
        <v>177</v>
      </c>
      <c r="B7" s="68"/>
      <c r="C7" s="68" t="s">
        <v>168</v>
      </c>
      <c r="D7" s="14" t="s">
        <v>171</v>
      </c>
      <c r="E7" s="14" t="s">
        <v>171</v>
      </c>
    </row>
    <row r="8" spans="1:18" ht="12">
      <c r="A8" s="69" t="s">
        <v>8</v>
      </c>
      <c r="B8" s="69"/>
      <c r="C8" s="69" t="s">
        <v>168</v>
      </c>
      <c r="D8" s="32" t="s">
        <v>172</v>
      </c>
      <c r="E8" s="32" t="s">
        <v>172</v>
      </c>
      <c r="F8" s="5">
        <v>-2.8</v>
      </c>
      <c r="G8" s="5">
        <v>0</v>
      </c>
      <c r="H8" s="5">
        <v>-3.2</v>
      </c>
      <c r="I8" s="5">
        <v>4</v>
      </c>
      <c r="J8" s="5">
        <v>1.86372357290279</v>
      </c>
      <c r="K8" s="5">
        <v>-0.1</v>
      </c>
      <c r="L8" s="5">
        <v>0.8</v>
      </c>
      <c r="M8" s="5">
        <v>2.6</v>
      </c>
      <c r="N8" s="5">
        <v>1.2</v>
      </c>
      <c r="O8" s="5">
        <v>-3.1</v>
      </c>
      <c r="P8" s="5">
        <v>1.383</v>
      </c>
      <c r="Q8" s="5">
        <v>-2.8</v>
      </c>
      <c r="R8" s="5"/>
    </row>
    <row r="9" spans="1:18" ht="12">
      <c r="A9" s="69" t="s">
        <v>8</v>
      </c>
      <c r="B9" s="69"/>
      <c r="C9" s="69" t="s">
        <v>168</v>
      </c>
      <c r="D9" s="32" t="s">
        <v>173</v>
      </c>
      <c r="E9" s="32" t="s">
        <v>173</v>
      </c>
      <c r="F9" s="5">
        <v>-0.4</v>
      </c>
      <c r="G9" s="5">
        <v>1.2</v>
      </c>
      <c r="H9" s="5">
        <v>1.4</v>
      </c>
      <c r="I9" s="5">
        <v>1.4</v>
      </c>
      <c r="J9" s="5">
        <v>1.1</v>
      </c>
      <c r="K9" s="5">
        <v>0.3</v>
      </c>
      <c r="L9" s="5">
        <v>-0.5</v>
      </c>
      <c r="M9" s="5">
        <v>-0.7</v>
      </c>
      <c r="N9" s="5">
        <v>-0.6</v>
      </c>
      <c r="O9" s="5">
        <v>-0.5</v>
      </c>
      <c r="P9" s="5">
        <v>-0.1359</v>
      </c>
      <c r="Q9" s="5">
        <v>0</v>
      </c>
      <c r="R9" s="5"/>
    </row>
    <row r="10" spans="1:18" ht="12">
      <c r="A10" s="69" t="s">
        <v>8</v>
      </c>
      <c r="B10" s="69"/>
      <c r="C10" s="69" t="s">
        <v>168</v>
      </c>
      <c r="D10" s="43" t="s">
        <v>174</v>
      </c>
      <c r="E10" s="43" t="s">
        <v>174</v>
      </c>
      <c r="F10" s="2">
        <v>5.9</v>
      </c>
      <c r="G10" s="2">
        <v>3.9</v>
      </c>
      <c r="H10" s="2">
        <v>-3.2</v>
      </c>
      <c r="I10" s="2">
        <v>-4.7</v>
      </c>
      <c r="J10" s="2">
        <v>-4.735528390778</v>
      </c>
      <c r="K10" s="2">
        <v>0.4</v>
      </c>
      <c r="L10" s="2">
        <v>4</v>
      </c>
      <c r="M10" s="2">
        <v>3.1</v>
      </c>
      <c r="N10" s="2">
        <v>4.9</v>
      </c>
      <c r="O10" s="2">
        <v>3.9</v>
      </c>
      <c r="P10" s="2">
        <v>5.89</v>
      </c>
      <c r="Q10" s="2">
        <v>2.8</v>
      </c>
      <c r="R10" s="2"/>
    </row>
    <row r="11" spans="1:18" ht="12.75">
      <c r="A11" s="69" t="s">
        <v>9</v>
      </c>
      <c r="B11" s="74"/>
      <c r="C11" s="69" t="s">
        <v>168</v>
      </c>
      <c r="D11" s="41" t="s">
        <v>175</v>
      </c>
      <c r="E11" s="41" t="s">
        <v>175</v>
      </c>
      <c r="F11" s="6">
        <v>2.7</v>
      </c>
      <c r="G11" s="6">
        <v>5.1</v>
      </c>
      <c r="H11" s="6">
        <v>-5</v>
      </c>
      <c r="I11" s="6">
        <v>0.7</v>
      </c>
      <c r="J11" s="6">
        <f>SUM(J8:J10)</f>
        <v>-1.7718048178752097</v>
      </c>
      <c r="K11" s="6">
        <f aca="true" t="shared" si="0" ref="K11:Q11">SUM(K8:K10)</f>
        <v>0.6</v>
      </c>
      <c r="L11" s="6">
        <f t="shared" si="0"/>
        <v>4.3</v>
      </c>
      <c r="M11" s="6">
        <f t="shared" si="0"/>
        <v>5</v>
      </c>
      <c r="N11" s="6">
        <f t="shared" si="0"/>
        <v>5.5</v>
      </c>
      <c r="O11" s="6">
        <f t="shared" si="0"/>
        <v>0.2999999999999998</v>
      </c>
      <c r="P11" s="6">
        <f t="shared" si="0"/>
        <v>7.1371</v>
      </c>
      <c r="Q11" s="6">
        <f t="shared" si="0"/>
        <v>0</v>
      </c>
      <c r="R11" s="6"/>
    </row>
    <row r="12" spans="1:5" ht="12">
      <c r="A12" s="69" t="s">
        <v>10</v>
      </c>
      <c r="B12" s="73"/>
      <c r="C12" s="69"/>
      <c r="D12" s="32"/>
      <c r="E12" s="32"/>
    </row>
    <row r="13" spans="1:18" s="18" customFormat="1" ht="12.75">
      <c r="A13" s="70" t="s">
        <v>7</v>
      </c>
      <c r="B13" s="70"/>
      <c r="C13" s="70"/>
      <c r="D13" s="51" t="s">
        <v>5</v>
      </c>
      <c r="E13" s="51" t="s">
        <v>5</v>
      </c>
      <c r="F13" s="31" t="str">
        <f aca="true" t="shared" si="1" ref="F13:N13">F6</f>
        <v>2017 Q1</v>
      </c>
      <c r="G13" s="31" t="str">
        <f t="shared" si="1"/>
        <v>2017 Q2</v>
      </c>
      <c r="H13" s="31" t="str">
        <f t="shared" si="1"/>
        <v>2017 Q3</v>
      </c>
      <c r="I13" s="31" t="str">
        <f t="shared" si="1"/>
        <v>2017 Q4</v>
      </c>
      <c r="J13" s="31" t="str">
        <f t="shared" si="1"/>
        <v>2018 Q1</v>
      </c>
      <c r="K13" s="31" t="str">
        <f t="shared" si="1"/>
        <v>2018 Q2</v>
      </c>
      <c r="L13" s="31" t="str">
        <f t="shared" si="1"/>
        <v>2018 Q3</v>
      </c>
      <c r="M13" s="31" t="str">
        <f t="shared" si="1"/>
        <v>2018 Q4</v>
      </c>
      <c r="N13" s="31" t="str">
        <f t="shared" si="1"/>
        <v>2019 Q1</v>
      </c>
      <c r="O13" s="31" t="str">
        <f>O6</f>
        <v>2019 Q2</v>
      </c>
      <c r="P13" s="31" t="str">
        <f>P6</f>
        <v>2019 Q3</v>
      </c>
      <c r="Q13" s="31" t="s">
        <v>601</v>
      </c>
      <c r="R13" s="31"/>
    </row>
    <row r="14" spans="1:5" s="14" customFormat="1" ht="12.75">
      <c r="A14" s="68" t="s">
        <v>177</v>
      </c>
      <c r="B14" s="68"/>
      <c r="C14" s="68" t="s">
        <v>168</v>
      </c>
      <c r="D14" s="14" t="s">
        <v>171</v>
      </c>
      <c r="E14" s="14" t="s">
        <v>171</v>
      </c>
    </row>
    <row r="15" spans="1:18" ht="12">
      <c r="A15" s="69" t="s">
        <v>8</v>
      </c>
      <c r="B15" s="69"/>
      <c r="C15" s="69" t="s">
        <v>168</v>
      </c>
      <c r="D15" s="32" t="s">
        <v>172</v>
      </c>
      <c r="E15" s="32" t="s">
        <v>172</v>
      </c>
      <c r="F15" s="5">
        <v>-2.8</v>
      </c>
      <c r="G15" s="5">
        <v>-1.4</v>
      </c>
      <c r="H15" s="5">
        <v>-2</v>
      </c>
      <c r="I15" s="5">
        <v>-0.4</v>
      </c>
      <c r="J15" s="5">
        <v>1.86372357290279</v>
      </c>
      <c r="K15" s="5">
        <v>0.8</v>
      </c>
      <c r="L15" s="5">
        <v>0.7</v>
      </c>
      <c r="M15" s="5">
        <v>1.2</v>
      </c>
      <c r="N15" s="5">
        <v>1.2</v>
      </c>
      <c r="O15" s="5">
        <v>-1.1</v>
      </c>
      <c r="P15" s="5">
        <v>-0.3</v>
      </c>
      <c r="Q15" s="5">
        <v>-1</v>
      </c>
      <c r="R15" s="5"/>
    </row>
    <row r="16" spans="1:18" ht="12">
      <c r="A16" s="69" t="s">
        <v>8</v>
      </c>
      <c r="B16" s="69"/>
      <c r="C16" s="69" t="s">
        <v>168</v>
      </c>
      <c r="D16" s="32" t="s">
        <v>173</v>
      </c>
      <c r="E16" s="32" t="s">
        <v>173</v>
      </c>
      <c r="F16" s="5">
        <v>-0.4</v>
      </c>
      <c r="G16" s="5">
        <v>0.4</v>
      </c>
      <c r="H16" s="5">
        <v>0.8</v>
      </c>
      <c r="I16" s="5">
        <v>1</v>
      </c>
      <c r="J16" s="5">
        <v>1.1</v>
      </c>
      <c r="K16" s="5">
        <v>0.7</v>
      </c>
      <c r="L16" s="5">
        <v>0.3</v>
      </c>
      <c r="M16" s="5">
        <v>0</v>
      </c>
      <c r="N16" s="5">
        <v>-0.6</v>
      </c>
      <c r="O16" s="5">
        <v>-0.5</v>
      </c>
      <c r="P16" s="5">
        <v>-0.4</v>
      </c>
      <c r="Q16" s="5">
        <v>-0.3</v>
      </c>
      <c r="R16" s="5"/>
    </row>
    <row r="17" spans="1:18" ht="12">
      <c r="A17" s="69" t="s">
        <v>8</v>
      </c>
      <c r="B17" s="69"/>
      <c r="C17" s="69" t="s">
        <v>168</v>
      </c>
      <c r="D17" s="43" t="s">
        <v>174</v>
      </c>
      <c r="E17" s="43" t="s">
        <v>174</v>
      </c>
      <c r="F17" s="2">
        <v>5.9</v>
      </c>
      <c r="G17" s="2">
        <v>4.9</v>
      </c>
      <c r="H17" s="2">
        <v>2</v>
      </c>
      <c r="I17" s="2">
        <v>0.2</v>
      </c>
      <c r="J17" s="2">
        <v>-4.735528390778</v>
      </c>
      <c r="K17" s="2">
        <v>-2</v>
      </c>
      <c r="L17" s="2">
        <v>0.1</v>
      </c>
      <c r="M17" s="2">
        <v>0.9</v>
      </c>
      <c r="N17" s="2">
        <v>4.9</v>
      </c>
      <c r="O17" s="2">
        <v>4.3</v>
      </c>
      <c r="P17" s="2">
        <v>4.9</v>
      </c>
      <c r="Q17" s="2">
        <v>4.3</v>
      </c>
      <c r="R17" s="2"/>
    </row>
    <row r="18" spans="1:18" ht="12.75">
      <c r="A18" s="69" t="s">
        <v>9</v>
      </c>
      <c r="B18" s="69"/>
      <c r="C18" s="69" t="s">
        <v>168</v>
      </c>
      <c r="D18" s="41" t="s">
        <v>175</v>
      </c>
      <c r="E18" s="41" t="s">
        <v>175</v>
      </c>
      <c r="F18" s="6">
        <v>2.7</v>
      </c>
      <c r="G18" s="6">
        <v>3.9</v>
      </c>
      <c r="H18" s="6">
        <v>0.8</v>
      </c>
      <c r="I18" s="6">
        <v>0.8</v>
      </c>
      <c r="J18" s="6">
        <f aca="true" t="shared" si="2" ref="J18:Q18">SUM(J15:J17)</f>
        <v>-1.7718048178752097</v>
      </c>
      <c r="K18" s="6">
        <f t="shared" si="2"/>
        <v>-0.5</v>
      </c>
      <c r="L18" s="6">
        <f t="shared" si="2"/>
        <v>1.1</v>
      </c>
      <c r="M18" s="6">
        <f t="shared" si="2"/>
        <v>2.1</v>
      </c>
      <c r="N18" s="6">
        <f t="shared" si="2"/>
        <v>5.5</v>
      </c>
      <c r="O18" s="6">
        <f t="shared" si="2"/>
        <v>2.6999999999999997</v>
      </c>
      <c r="P18" s="6">
        <f t="shared" si="2"/>
        <v>4.2</v>
      </c>
      <c r="Q18" s="6">
        <f t="shared" si="2"/>
        <v>3</v>
      </c>
      <c r="R18" s="6"/>
    </row>
    <row r="19" ht="12">
      <c r="A19" s="74" t="s">
        <v>10</v>
      </c>
    </row>
    <row r="20" spans="1:11" ht="212.25">
      <c r="A20" s="74" t="s">
        <v>619</v>
      </c>
      <c r="E20" s="63" t="s">
        <v>620</v>
      </c>
      <c r="F20" s="57"/>
      <c r="G20" s="57"/>
      <c r="H20" s="57"/>
      <c r="I20" s="57"/>
      <c r="J20" s="57"/>
      <c r="K20" s="5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  <headerFooter alignWithMargins="0">
    <oddHeader>&amp;L&amp;D/&amp;F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Q22"/>
  <sheetViews>
    <sheetView zoomScaleSheetLayoutView="100" zoomScalePageLayoutView="0" workbookViewId="0" topLeftCell="A1">
      <selection activeCell="A22" sqref="A22:IV22"/>
    </sheetView>
  </sheetViews>
  <sheetFormatPr defaultColWidth="9.28125" defaultRowHeight="12.75"/>
  <cols>
    <col min="1" max="1" width="11.28125" style="69" bestFit="1" customWidth="1"/>
    <col min="2" max="2" width="12.28125" style="17" bestFit="1" customWidth="1"/>
    <col min="3" max="3" width="11.28125" style="17" bestFit="1" customWidth="1"/>
    <col min="4" max="4" width="23.421875" style="17" hidden="1" customWidth="1"/>
    <col min="5" max="5" width="54.00390625" style="17" customWidth="1"/>
    <col min="6" max="17" width="7.57421875" style="17" bestFit="1" customWidth="1"/>
    <col min="18" max="16384" width="9.28125" style="17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5">
      <c r="A4" s="74" t="s">
        <v>6</v>
      </c>
      <c r="B4" s="33" t="s">
        <v>33</v>
      </c>
      <c r="D4" s="25" t="s">
        <v>576</v>
      </c>
      <c r="E4" s="25" t="s">
        <v>576</v>
      </c>
    </row>
    <row r="5" spans="2:5" ht="12.75">
      <c r="B5" s="33" t="s">
        <v>35</v>
      </c>
      <c r="C5" s="34" t="s">
        <v>139</v>
      </c>
      <c r="D5" s="15"/>
      <c r="E5" s="15"/>
    </row>
    <row r="6" spans="1:17" s="45" customFormat="1" ht="12.75">
      <c r="A6" s="75" t="s">
        <v>7</v>
      </c>
      <c r="B6" s="42" t="s">
        <v>34</v>
      </c>
      <c r="C6" s="39" t="s">
        <v>139</v>
      </c>
      <c r="D6" s="51" t="s">
        <v>5</v>
      </c>
      <c r="E6" s="51" t="s">
        <v>5</v>
      </c>
      <c r="F6" s="31" t="s">
        <v>185</v>
      </c>
      <c r="G6" s="31" t="s">
        <v>186</v>
      </c>
      <c r="H6" s="31" t="s">
        <v>187</v>
      </c>
      <c r="I6" s="31" t="s">
        <v>188</v>
      </c>
      <c r="J6" s="31" t="s">
        <v>189</v>
      </c>
      <c r="K6" s="31" t="s">
        <v>190</v>
      </c>
      <c r="L6" s="31" t="s">
        <v>191</v>
      </c>
      <c r="M6" s="31" t="s">
        <v>192</v>
      </c>
      <c r="N6" s="31" t="s">
        <v>230</v>
      </c>
      <c r="O6" s="31" t="s">
        <v>574</v>
      </c>
      <c r="P6" s="31" t="s">
        <v>575</v>
      </c>
      <c r="Q6" s="31" t="s">
        <v>601</v>
      </c>
    </row>
    <row r="7" spans="1:17" s="14" customFormat="1" ht="12.75">
      <c r="A7" s="77" t="s">
        <v>177</v>
      </c>
      <c r="B7" s="90"/>
      <c r="C7" s="91"/>
      <c r="D7" s="92" t="s">
        <v>163</v>
      </c>
      <c r="E7" s="92" t="s">
        <v>163</v>
      </c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</row>
    <row r="8" spans="1:17" ht="12">
      <c r="A8" s="74" t="s">
        <v>8</v>
      </c>
      <c r="B8" s="74"/>
      <c r="C8" s="74"/>
      <c r="D8" s="19" t="s">
        <v>14</v>
      </c>
      <c r="E8" s="19" t="s">
        <v>14</v>
      </c>
      <c r="F8" s="8">
        <v>84534</v>
      </c>
      <c r="G8" s="8">
        <v>85899</v>
      </c>
      <c r="H8" s="8">
        <v>88596</v>
      </c>
      <c r="I8" s="8">
        <v>89542</v>
      </c>
      <c r="J8" s="8">
        <v>89209</v>
      </c>
      <c r="K8" s="8">
        <v>92151</v>
      </c>
      <c r="L8" s="8">
        <v>93262</v>
      </c>
      <c r="M8" s="8">
        <v>97312</v>
      </c>
      <c r="N8" s="8">
        <v>101008</v>
      </c>
      <c r="O8" s="8">
        <v>101926</v>
      </c>
      <c r="P8" s="8">
        <v>106251</v>
      </c>
      <c r="Q8" s="8">
        <v>106808</v>
      </c>
    </row>
    <row r="9" spans="1:17" ht="12">
      <c r="A9" s="74" t="s">
        <v>8</v>
      </c>
      <c r="B9" s="96" t="s">
        <v>11</v>
      </c>
      <c r="C9" s="74"/>
      <c r="D9" s="19" t="s">
        <v>123</v>
      </c>
      <c r="E9" s="19" t="s">
        <v>123</v>
      </c>
      <c r="F9" s="8">
        <v>22930</v>
      </c>
      <c r="G9" s="8">
        <v>20986</v>
      </c>
      <c r="H9" s="8">
        <v>20170</v>
      </c>
      <c r="I9" s="8">
        <v>20678</v>
      </c>
      <c r="J9" s="8">
        <v>25147</v>
      </c>
      <c r="K9" s="8">
        <v>24027</v>
      </c>
      <c r="L9" s="8">
        <v>23480</v>
      </c>
      <c r="M9" s="8">
        <v>23574</v>
      </c>
      <c r="N9" s="8">
        <v>31186</v>
      </c>
      <c r="O9" s="8">
        <v>33367</v>
      </c>
      <c r="P9" s="8">
        <v>32834</v>
      </c>
      <c r="Q9" s="8">
        <v>26172</v>
      </c>
    </row>
    <row r="10" spans="1:17" ht="12">
      <c r="A10" s="74" t="s">
        <v>8</v>
      </c>
      <c r="B10" s="96" t="s">
        <v>11</v>
      </c>
      <c r="C10" s="74"/>
      <c r="D10" s="19" t="s">
        <v>124</v>
      </c>
      <c r="E10" s="19" t="s">
        <v>124</v>
      </c>
      <c r="F10" s="8">
        <v>-12547</v>
      </c>
      <c r="G10" s="8">
        <v>-13968</v>
      </c>
      <c r="H10" s="8">
        <v>-14436</v>
      </c>
      <c r="I10" s="8">
        <v>-15873</v>
      </c>
      <c r="J10" s="8">
        <v>-12190</v>
      </c>
      <c r="K10" s="8">
        <v>-14167</v>
      </c>
      <c r="L10" s="8">
        <v>-14714</v>
      </c>
      <c r="M10" s="8">
        <v>-16848</v>
      </c>
      <c r="N10" s="8">
        <v>-13202</v>
      </c>
      <c r="O10" s="8">
        <v>-12374</v>
      </c>
      <c r="P10" s="8">
        <v>-14692</v>
      </c>
      <c r="Q10" s="8">
        <v>-17390</v>
      </c>
    </row>
    <row r="11" spans="1:17" ht="12">
      <c r="A11" s="74" t="s">
        <v>8</v>
      </c>
      <c r="B11" s="74"/>
      <c r="C11" s="74"/>
      <c r="D11" s="19" t="s">
        <v>13</v>
      </c>
      <c r="E11" s="19" t="s">
        <v>13</v>
      </c>
      <c r="F11" s="8">
        <v>18743</v>
      </c>
      <c r="G11" s="8">
        <v>18515</v>
      </c>
      <c r="H11" s="8">
        <v>18956</v>
      </c>
      <c r="I11" s="8">
        <v>20747</v>
      </c>
      <c r="J11" s="8">
        <v>20220</v>
      </c>
      <c r="K11" s="8">
        <v>20305</v>
      </c>
      <c r="L11" s="8">
        <v>19702</v>
      </c>
      <c r="M11" s="8">
        <v>21482</v>
      </c>
      <c r="N11" s="8">
        <v>21439</v>
      </c>
      <c r="O11" s="8">
        <v>22216</v>
      </c>
      <c r="P11" s="8">
        <v>21174</v>
      </c>
      <c r="Q11" s="8">
        <v>20847</v>
      </c>
    </row>
    <row r="12" spans="1:17" ht="12">
      <c r="A12" s="74" t="s">
        <v>8</v>
      </c>
      <c r="B12" s="74"/>
      <c r="C12" s="74"/>
      <c r="D12" s="19" t="s">
        <v>12</v>
      </c>
      <c r="E12" s="19" t="s">
        <v>12</v>
      </c>
      <c r="F12" s="8">
        <v>15999</v>
      </c>
      <c r="G12" s="8">
        <v>15310</v>
      </c>
      <c r="H12" s="8">
        <v>16399</v>
      </c>
      <c r="I12" s="8">
        <v>14655</v>
      </c>
      <c r="J12" s="8">
        <v>16792</v>
      </c>
      <c r="K12" s="8">
        <v>17679</v>
      </c>
      <c r="L12" s="8">
        <v>18395</v>
      </c>
      <c r="M12" s="8">
        <v>16750</v>
      </c>
      <c r="N12" s="8">
        <v>19032</v>
      </c>
      <c r="O12" s="8">
        <v>19194</v>
      </c>
      <c r="P12" s="8">
        <v>20035</v>
      </c>
      <c r="Q12" s="8">
        <v>16194</v>
      </c>
    </row>
    <row r="13" spans="1:17" ht="12">
      <c r="A13" s="74" t="s">
        <v>8</v>
      </c>
      <c r="B13" s="74"/>
      <c r="C13" s="74"/>
      <c r="D13" s="19" t="s">
        <v>15</v>
      </c>
      <c r="E13" s="19" t="s">
        <v>15</v>
      </c>
      <c r="F13" s="8">
        <v>-29073</v>
      </c>
      <c r="G13" s="8">
        <v>-29370</v>
      </c>
      <c r="H13" s="8">
        <v>-30200</v>
      </c>
      <c r="I13" s="8">
        <v>-31114</v>
      </c>
      <c r="J13" s="8">
        <v>-30937</v>
      </c>
      <c r="K13" s="8">
        <v>-32365</v>
      </c>
      <c r="L13" s="8">
        <v>-32216</v>
      </c>
      <c r="M13" s="8">
        <v>-34443</v>
      </c>
      <c r="N13" s="8">
        <v>-34563</v>
      </c>
      <c r="O13" s="8">
        <v>-34277</v>
      </c>
      <c r="P13" s="8">
        <v>-34792</v>
      </c>
      <c r="Q13" s="8">
        <v>-33892</v>
      </c>
    </row>
    <row r="14" spans="1:17" ht="12">
      <c r="A14" s="74" t="s">
        <v>8</v>
      </c>
      <c r="B14" s="96" t="s">
        <v>11</v>
      </c>
      <c r="C14" s="74"/>
      <c r="D14" s="19" t="s">
        <v>24</v>
      </c>
      <c r="E14" s="19" t="s">
        <v>24</v>
      </c>
      <c r="F14" s="8">
        <v>16507</v>
      </c>
      <c r="G14" s="8">
        <v>17133</v>
      </c>
      <c r="H14" s="8">
        <v>18179</v>
      </c>
      <c r="I14" s="8">
        <v>20480</v>
      </c>
      <c r="J14" s="8">
        <v>21748</v>
      </c>
      <c r="K14" s="8">
        <v>20090</v>
      </c>
      <c r="L14" s="8">
        <v>20686</v>
      </c>
      <c r="M14" s="8">
        <v>21749</v>
      </c>
      <c r="N14" s="8">
        <v>22777</v>
      </c>
      <c r="O14" s="8">
        <v>21118</v>
      </c>
      <c r="P14" s="8">
        <v>21384</v>
      </c>
      <c r="Q14" s="8">
        <v>22574</v>
      </c>
    </row>
    <row r="15" spans="1:17" ht="12">
      <c r="A15" s="74" t="s">
        <v>8</v>
      </c>
      <c r="B15" s="74"/>
      <c r="C15" s="74"/>
      <c r="D15" s="19" t="s">
        <v>23</v>
      </c>
      <c r="E15" s="19" t="s">
        <v>23</v>
      </c>
      <c r="F15" s="8">
        <v>9530</v>
      </c>
      <c r="G15" s="8">
        <v>9953</v>
      </c>
      <c r="H15" s="8">
        <v>9633</v>
      </c>
      <c r="I15" s="8">
        <v>9078</v>
      </c>
      <c r="J15" s="8">
        <v>9529</v>
      </c>
      <c r="K15" s="8">
        <v>9946</v>
      </c>
      <c r="L15" s="8">
        <v>9928</v>
      </c>
      <c r="M15" s="8">
        <v>9982</v>
      </c>
      <c r="N15" s="8">
        <v>11149</v>
      </c>
      <c r="O15" s="8">
        <v>11392</v>
      </c>
      <c r="P15" s="8">
        <v>11163</v>
      </c>
      <c r="Q15" s="8">
        <v>10989</v>
      </c>
    </row>
    <row r="16" spans="1:17" ht="12">
      <c r="A16" s="74" t="s">
        <v>8</v>
      </c>
      <c r="B16" s="74"/>
      <c r="C16" s="74"/>
      <c r="D16" s="19" t="s">
        <v>161</v>
      </c>
      <c r="E16" s="19" t="s">
        <v>161</v>
      </c>
      <c r="F16" s="8">
        <v>3590</v>
      </c>
      <c r="G16" s="8">
        <v>3085</v>
      </c>
      <c r="H16" s="8">
        <v>2764</v>
      </c>
      <c r="I16" s="8">
        <v>2634</v>
      </c>
      <c r="J16" s="8">
        <v>2406</v>
      </c>
      <c r="K16" s="8">
        <v>2352</v>
      </c>
      <c r="L16" s="8">
        <v>2593</v>
      </c>
      <c r="M16" s="8">
        <v>3814</v>
      </c>
      <c r="N16" s="8">
        <v>3182</v>
      </c>
      <c r="O16" s="8">
        <v>4099</v>
      </c>
      <c r="P16" s="8">
        <v>5565</v>
      </c>
      <c r="Q16" s="8">
        <v>3866</v>
      </c>
    </row>
    <row r="17" spans="1:17" ht="12">
      <c r="A17" s="74" t="s">
        <v>8</v>
      </c>
      <c r="B17" s="235" t="s">
        <v>237</v>
      </c>
      <c r="C17" s="74"/>
      <c r="D17" s="231" t="s">
        <v>160</v>
      </c>
      <c r="E17" s="231" t="s">
        <v>160</v>
      </c>
      <c r="F17" s="8">
        <v>1756</v>
      </c>
      <c r="G17" s="8">
        <v>-310</v>
      </c>
      <c r="H17" s="8">
        <v>-1851</v>
      </c>
      <c r="I17" s="8">
        <v>-2437</v>
      </c>
      <c r="J17" s="8">
        <v>993</v>
      </c>
      <c r="K17" s="8">
        <v>393</v>
      </c>
      <c r="L17" s="8">
        <v>-992</v>
      </c>
      <c r="M17" s="8">
        <v>-1989</v>
      </c>
      <c r="N17" s="8">
        <v>1666</v>
      </c>
      <c r="O17" s="8">
        <v>3463</v>
      </c>
      <c r="P17" s="8">
        <v>1292</v>
      </c>
      <c r="Q17" s="8">
        <v>667</v>
      </c>
    </row>
    <row r="18" spans="1:17" s="18" customFormat="1" ht="12">
      <c r="A18" s="236" t="s">
        <v>8</v>
      </c>
      <c r="B18" s="237" t="s">
        <v>11</v>
      </c>
      <c r="C18" s="236"/>
      <c r="D18" s="20" t="s">
        <v>159</v>
      </c>
      <c r="E18" s="20" t="s">
        <v>159</v>
      </c>
      <c r="F18" s="9">
        <v>5346</v>
      </c>
      <c r="G18" s="9">
        <v>2775</v>
      </c>
      <c r="H18" s="9">
        <v>913</v>
      </c>
      <c r="I18" s="9">
        <v>197</v>
      </c>
      <c r="J18" s="9">
        <v>3399</v>
      </c>
      <c r="K18" s="9">
        <v>2745</v>
      </c>
      <c r="L18" s="9">
        <v>1601</v>
      </c>
      <c r="M18" s="9">
        <v>1825</v>
      </c>
      <c r="N18" s="9">
        <v>8410</v>
      </c>
      <c r="O18" s="9">
        <v>11027</v>
      </c>
      <c r="P18" s="9">
        <v>10229</v>
      </c>
      <c r="Q18" s="9">
        <v>7683</v>
      </c>
    </row>
    <row r="19" ht="12">
      <c r="A19" s="74" t="s">
        <v>10</v>
      </c>
    </row>
    <row r="20" spans="1:5" ht="12">
      <c r="A20" s="74" t="s">
        <v>16</v>
      </c>
      <c r="D20" s="231" t="s">
        <v>612</v>
      </c>
      <c r="E20" s="231" t="s">
        <v>612</v>
      </c>
    </row>
    <row r="21" ht="12">
      <c r="A21" s="69" t="s">
        <v>10</v>
      </c>
    </row>
    <row r="22" spans="1:11" ht="112.5">
      <c r="A22" s="74" t="s">
        <v>619</v>
      </c>
      <c r="E22" s="63" t="s">
        <v>620</v>
      </c>
      <c r="F22" s="57"/>
      <c r="G22" s="57"/>
      <c r="H22" s="57"/>
      <c r="I22" s="57"/>
      <c r="J22" s="57"/>
      <c r="K22" s="5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4" r:id="rId1"/>
  <headerFooter alignWithMargins="0">
    <oddHeader>&amp;L&amp;D/&amp;F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Q19"/>
  <sheetViews>
    <sheetView zoomScaleSheetLayoutView="100" zoomScalePageLayoutView="0" workbookViewId="0" topLeftCell="A1">
      <selection activeCell="A19" sqref="A19:IV19"/>
    </sheetView>
  </sheetViews>
  <sheetFormatPr defaultColWidth="9.28125" defaultRowHeight="12.75"/>
  <cols>
    <col min="1" max="1" width="11.28125" style="69" bestFit="1" customWidth="1"/>
    <col min="2" max="2" width="12.28125" style="17" bestFit="1" customWidth="1"/>
    <col min="3" max="3" width="11.28125" style="17" bestFit="1" customWidth="1"/>
    <col min="4" max="4" width="23.421875" style="17" hidden="1" customWidth="1"/>
    <col min="5" max="5" width="66.7109375" style="17" bestFit="1" customWidth="1"/>
    <col min="6" max="17" width="7.57421875" style="17" bestFit="1" customWidth="1"/>
    <col min="18" max="16384" width="9.28125" style="17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5">
      <c r="A4" s="74" t="s">
        <v>6</v>
      </c>
      <c r="B4" s="33" t="s">
        <v>33</v>
      </c>
      <c r="D4" s="25" t="s">
        <v>577</v>
      </c>
      <c r="E4" s="25" t="s">
        <v>577</v>
      </c>
    </row>
    <row r="5" spans="2:5" ht="12.75">
      <c r="B5" s="33" t="s">
        <v>35</v>
      </c>
      <c r="C5" s="34" t="s">
        <v>139</v>
      </c>
      <c r="D5" s="15"/>
      <c r="E5" s="15"/>
    </row>
    <row r="6" spans="1:17" s="45" customFormat="1" ht="12.75">
      <c r="A6" s="75" t="s">
        <v>7</v>
      </c>
      <c r="B6" s="42" t="s">
        <v>34</v>
      </c>
      <c r="C6" s="39" t="s">
        <v>139</v>
      </c>
      <c r="D6" s="54" t="s">
        <v>4</v>
      </c>
      <c r="E6" s="54" t="s">
        <v>4</v>
      </c>
      <c r="F6" s="31" t="s">
        <v>185</v>
      </c>
      <c r="G6" s="31" t="s">
        <v>186</v>
      </c>
      <c r="H6" s="31" t="s">
        <v>187</v>
      </c>
      <c r="I6" s="31" t="s">
        <v>188</v>
      </c>
      <c r="J6" s="31" t="s">
        <v>189</v>
      </c>
      <c r="K6" s="31" t="s">
        <v>190</v>
      </c>
      <c r="L6" s="31" t="s">
        <v>191</v>
      </c>
      <c r="M6" s="31" t="s">
        <v>192</v>
      </c>
      <c r="N6" s="31" t="s">
        <v>230</v>
      </c>
      <c r="O6" s="31" t="s">
        <v>574</v>
      </c>
      <c r="P6" s="31" t="s">
        <v>575</v>
      </c>
      <c r="Q6" s="31" t="s">
        <v>601</v>
      </c>
    </row>
    <row r="7" spans="1:5" s="14" customFormat="1" ht="12.75">
      <c r="A7" s="77" t="s">
        <v>177</v>
      </c>
      <c r="B7" s="90"/>
      <c r="C7" s="91"/>
      <c r="D7" s="92" t="s">
        <v>163</v>
      </c>
      <c r="E7" s="92" t="s">
        <v>163</v>
      </c>
    </row>
    <row r="8" spans="1:17" ht="12">
      <c r="A8" s="74" t="s">
        <v>8</v>
      </c>
      <c r="B8" s="74"/>
      <c r="C8" s="74"/>
      <c r="D8" s="19" t="s">
        <v>120</v>
      </c>
      <c r="E8" s="19" t="s">
        <v>120</v>
      </c>
      <c r="F8" s="8">
        <v>2129</v>
      </c>
      <c r="G8" s="8">
        <v>2667</v>
      </c>
      <c r="H8" s="8">
        <v>2442</v>
      </c>
      <c r="I8" s="8">
        <v>2519</v>
      </c>
      <c r="J8" s="8">
        <v>2123</v>
      </c>
      <c r="K8" s="8">
        <v>2265</v>
      </c>
      <c r="L8" s="8">
        <v>2337</v>
      </c>
      <c r="M8" s="8">
        <v>2322</v>
      </c>
      <c r="N8" s="8">
        <v>1935</v>
      </c>
      <c r="O8" s="8">
        <v>2461</v>
      </c>
      <c r="P8" s="8">
        <v>2826</v>
      </c>
      <c r="Q8" s="8">
        <v>1569</v>
      </c>
    </row>
    <row r="9" spans="1:17" ht="12">
      <c r="A9" s="74" t="s">
        <v>8</v>
      </c>
      <c r="B9" s="74"/>
      <c r="C9" s="74"/>
      <c r="D9" s="19" t="s">
        <v>121</v>
      </c>
      <c r="E9" s="19" t="s">
        <v>121</v>
      </c>
      <c r="F9" s="8">
        <v>-2742</v>
      </c>
      <c r="G9" s="8">
        <v>1269</v>
      </c>
      <c r="H9" s="8">
        <v>584</v>
      </c>
      <c r="I9" s="8">
        <v>1156</v>
      </c>
      <c r="J9" s="8">
        <v>-4370</v>
      </c>
      <c r="K9" s="8">
        <v>523</v>
      </c>
      <c r="L9" s="8">
        <v>331</v>
      </c>
      <c r="M9" s="8">
        <v>2516</v>
      </c>
      <c r="N9" s="8">
        <v>-4072</v>
      </c>
      <c r="O9" s="8">
        <v>-1039</v>
      </c>
      <c r="P9" s="8">
        <v>1280</v>
      </c>
      <c r="Q9" s="8">
        <v>3473</v>
      </c>
    </row>
    <row r="10" spans="1:17" ht="12">
      <c r="A10" s="74" t="s">
        <v>8</v>
      </c>
      <c r="B10" s="235" t="s">
        <v>237</v>
      </c>
      <c r="D10" s="19" t="s">
        <v>17</v>
      </c>
      <c r="E10" s="19" t="s">
        <v>17</v>
      </c>
      <c r="F10" s="8">
        <v>-613</v>
      </c>
      <c r="G10" s="8">
        <v>3936</v>
      </c>
      <c r="H10" s="8">
        <v>3026</v>
      </c>
      <c r="I10" s="8">
        <v>3675</v>
      </c>
      <c r="J10" s="8">
        <v>-2247</v>
      </c>
      <c r="K10" s="8">
        <v>2787</v>
      </c>
      <c r="L10" s="8">
        <v>2668</v>
      </c>
      <c r="M10" s="8">
        <v>4839</v>
      </c>
      <c r="N10" s="8">
        <v>-2137</v>
      </c>
      <c r="O10" s="8">
        <v>1422</v>
      </c>
      <c r="P10" s="8">
        <f>+P9+P8</f>
        <v>4106</v>
      </c>
      <c r="Q10" s="8">
        <v>5043</v>
      </c>
    </row>
    <row r="11" spans="1:17" ht="12">
      <c r="A11" s="74" t="s">
        <v>8</v>
      </c>
      <c r="B11" s="74"/>
      <c r="D11" s="19" t="s">
        <v>19</v>
      </c>
      <c r="E11" s="19" t="s">
        <v>19</v>
      </c>
      <c r="F11" s="8">
        <v>-3066</v>
      </c>
      <c r="G11" s="8">
        <v>-1729</v>
      </c>
      <c r="H11" s="8">
        <v>-1295</v>
      </c>
      <c r="I11" s="8">
        <v>-2110</v>
      </c>
      <c r="J11" s="8">
        <v>-1152</v>
      </c>
      <c r="K11" s="8">
        <v>-1269</v>
      </c>
      <c r="L11" s="8">
        <v>-1316</v>
      </c>
      <c r="M11" s="8">
        <v>-2770</v>
      </c>
      <c r="N11" s="8">
        <v>-1331</v>
      </c>
      <c r="O11" s="8">
        <v>-1839</v>
      </c>
      <c r="P11" s="8">
        <v>-1932</v>
      </c>
      <c r="Q11" s="8">
        <v>-2582</v>
      </c>
    </row>
    <row r="12" spans="1:17" ht="12">
      <c r="A12" s="74" t="s">
        <v>8</v>
      </c>
      <c r="B12" s="74"/>
      <c r="D12" s="19" t="s">
        <v>225</v>
      </c>
      <c r="E12" s="19" t="s">
        <v>225</v>
      </c>
      <c r="F12" s="8">
        <f>-591</f>
        <v>-591</v>
      </c>
      <c r="G12" s="8">
        <f>-658</f>
        <v>-658</v>
      </c>
      <c r="H12" s="8">
        <f>-952</f>
        <v>-952</v>
      </c>
      <c r="I12" s="8">
        <f>-1691</f>
        <v>-1691</v>
      </c>
      <c r="J12" s="8">
        <f>-615</f>
        <v>-615</v>
      </c>
      <c r="K12" s="8">
        <f>-794</f>
        <v>-794</v>
      </c>
      <c r="L12" s="8">
        <f>-1135</f>
        <v>-1135</v>
      </c>
      <c r="M12" s="8">
        <f>-2106</f>
        <v>-2106</v>
      </c>
      <c r="N12" s="8">
        <v>-806</v>
      </c>
      <c r="O12" s="8">
        <v>-901</v>
      </c>
      <c r="P12" s="8">
        <v>-1404</v>
      </c>
      <c r="Q12" s="8">
        <v>-2451</v>
      </c>
    </row>
    <row r="13" spans="1:17" ht="12">
      <c r="A13" s="74" t="s">
        <v>8</v>
      </c>
      <c r="B13" s="96" t="s">
        <v>11</v>
      </c>
      <c r="D13" s="19" t="s">
        <v>20</v>
      </c>
      <c r="E13" s="19" t="s">
        <v>20</v>
      </c>
      <c r="F13" s="8">
        <v>-3679</v>
      </c>
      <c r="G13" s="8">
        <v>2207</v>
      </c>
      <c r="H13" s="8">
        <v>1731</v>
      </c>
      <c r="I13" s="8">
        <v>1565</v>
      </c>
      <c r="J13" s="8">
        <v>-3399</v>
      </c>
      <c r="K13" s="8">
        <v>1519</v>
      </c>
      <c r="L13" s="8">
        <v>1352</v>
      </c>
      <c r="M13" s="8">
        <v>2069</v>
      </c>
      <c r="N13" s="8">
        <v>-3467</v>
      </c>
      <c r="O13" s="8">
        <v>-416</v>
      </c>
      <c r="P13" s="8">
        <f>+P11+P10</f>
        <v>2174</v>
      </c>
      <c r="Q13" s="8">
        <f>+Q11+Q10</f>
        <v>2461</v>
      </c>
    </row>
    <row r="14" spans="1:17" ht="12">
      <c r="A14" s="236" t="s">
        <v>8</v>
      </c>
      <c r="B14" s="237" t="s">
        <v>11</v>
      </c>
      <c r="C14" s="238"/>
      <c r="D14" s="19" t="s">
        <v>122</v>
      </c>
      <c r="E14" s="19" t="s">
        <v>122</v>
      </c>
      <c r="F14" s="8">
        <f>-1078</f>
        <v>-1078</v>
      </c>
      <c r="G14" s="8">
        <f>0</f>
        <v>0</v>
      </c>
      <c r="H14" s="8">
        <v>0</v>
      </c>
      <c r="I14" s="8">
        <f>-1077</f>
        <v>-1077</v>
      </c>
      <c r="J14" s="8">
        <v>0</v>
      </c>
      <c r="K14" s="8">
        <f>-1193</f>
        <v>-1193</v>
      </c>
      <c r="L14" s="8">
        <v>0</v>
      </c>
      <c r="M14" s="8">
        <f>-1193</f>
        <v>-1193</v>
      </c>
      <c r="N14" s="8">
        <v>0</v>
      </c>
      <c r="O14" s="8">
        <v>-1221</v>
      </c>
      <c r="P14" s="8">
        <v>0</v>
      </c>
      <c r="Q14" s="8">
        <v>-1221</v>
      </c>
    </row>
    <row r="15" spans="1:17" s="18" customFormat="1" ht="15" customHeight="1">
      <c r="A15" s="236" t="s">
        <v>8</v>
      </c>
      <c r="B15" s="237" t="s">
        <v>11</v>
      </c>
      <c r="C15" s="238" t="s">
        <v>168</v>
      </c>
      <c r="D15" s="19" t="s">
        <v>226</v>
      </c>
      <c r="E15" s="19" t="s">
        <v>226</v>
      </c>
      <c r="F15" s="10">
        <f>-591/28201*100*-1</f>
        <v>2.0956703662990672</v>
      </c>
      <c r="G15" s="10">
        <f>-658/30948*100*-1</f>
        <v>2.126147085433631</v>
      </c>
      <c r="H15" s="10">
        <f>-952/29042*100*-1</f>
        <v>3.2780111562564564</v>
      </c>
      <c r="I15" s="10">
        <f>-1691/32580*100*-1</f>
        <v>5.190300798035604</v>
      </c>
      <c r="J15" s="10">
        <f>-615/27906*100*-1</f>
        <v>2.203827133949688</v>
      </c>
      <c r="K15" s="10">
        <f>-794/31354*100*-1</f>
        <v>2.5323722651017415</v>
      </c>
      <c r="L15" s="10">
        <f>-1135/30444*100*-1</f>
        <v>3.7281566154250427</v>
      </c>
      <c r="M15" s="10">
        <f>-2106/34425*100*-1</f>
        <v>6.11764705882353</v>
      </c>
      <c r="N15" s="10">
        <f>-806/29710*100*-1</f>
        <v>2.7128912823964995</v>
      </c>
      <c r="O15" s="10">
        <f>-901/31687*100*-1</f>
        <v>2.8434373717928487</v>
      </c>
      <c r="P15" s="10">
        <f>-P12/'Net_sales_and_income-Q'!P8*100</f>
        <v>4.629080118694362</v>
      </c>
      <c r="Q15" s="10">
        <f>-Q12/'Net_sales_and_income-Q'!Q8*100</f>
        <v>7.656742994595608</v>
      </c>
    </row>
    <row r="16" ht="12">
      <c r="A16" s="74" t="s">
        <v>10</v>
      </c>
    </row>
    <row r="17" spans="1:5" ht="12">
      <c r="A17" s="74" t="s">
        <v>16</v>
      </c>
      <c r="D17" s="231" t="s">
        <v>585</v>
      </c>
      <c r="E17" s="231" t="s">
        <v>585</v>
      </c>
    </row>
    <row r="18" ht="12">
      <c r="A18" s="69" t="s">
        <v>10</v>
      </c>
    </row>
    <row r="19" spans="1:11" ht="87">
      <c r="A19" s="74" t="s">
        <v>619</v>
      </c>
      <c r="E19" s="63" t="s">
        <v>620</v>
      </c>
      <c r="F19" s="57"/>
      <c r="G19" s="57"/>
      <c r="H19" s="57"/>
      <c r="I19" s="57"/>
      <c r="J19" s="57"/>
      <c r="K19" s="5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&amp;L&amp;D/&amp;F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7">
    <pageSetUpPr fitToPage="1"/>
  </sheetPr>
  <dimension ref="A1:M24"/>
  <sheetViews>
    <sheetView zoomScalePageLayoutView="0" workbookViewId="0" topLeftCell="A1">
      <selection activeCell="A19" sqref="A19:IV19"/>
    </sheetView>
  </sheetViews>
  <sheetFormatPr defaultColWidth="9.140625" defaultRowHeight="12.75"/>
  <cols>
    <col min="1" max="1" width="11.28125" style="69" bestFit="1" customWidth="1"/>
    <col min="2" max="2" width="12.28125" style="0" bestFit="1" customWidth="1"/>
    <col min="3" max="3" width="11.28125" style="0" bestFit="1" customWidth="1"/>
    <col min="4" max="4" width="46.421875" style="0" hidden="1" customWidth="1"/>
    <col min="5" max="5" width="38.7109375" style="0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2.75">
      <c r="A4" s="69" t="s">
        <v>6</v>
      </c>
      <c r="B4" s="33" t="s">
        <v>33</v>
      </c>
      <c r="C4" s="17"/>
      <c r="D4" s="53" t="s">
        <v>199</v>
      </c>
      <c r="E4" s="53" t="s">
        <v>199</v>
      </c>
    </row>
    <row r="5" spans="2:13" ht="12.75">
      <c r="B5" s="33" t="s">
        <v>35</v>
      </c>
      <c r="C5" s="39" t="s">
        <v>139</v>
      </c>
      <c r="D5" s="44"/>
      <c r="E5" s="44"/>
      <c r="F5" s="59"/>
      <c r="G5" s="59"/>
      <c r="H5" s="59"/>
      <c r="I5" s="59"/>
      <c r="J5" s="59"/>
      <c r="K5" s="59"/>
      <c r="L5" s="59"/>
      <c r="M5" s="59"/>
    </row>
    <row r="6" spans="1:13" ht="15">
      <c r="A6" s="70" t="s">
        <v>7</v>
      </c>
      <c r="B6" s="42" t="s">
        <v>34</v>
      </c>
      <c r="C6" s="39" t="s">
        <v>139</v>
      </c>
      <c r="D6" s="51" t="s">
        <v>138</v>
      </c>
      <c r="E6" s="51" t="s">
        <v>138</v>
      </c>
      <c r="F6" s="31" t="s">
        <v>554</v>
      </c>
      <c r="G6" s="31" t="s">
        <v>555</v>
      </c>
      <c r="H6" s="31" t="s">
        <v>556</v>
      </c>
      <c r="I6" s="31" t="s">
        <v>557</v>
      </c>
      <c r="J6" s="31" t="s">
        <v>230</v>
      </c>
      <c r="K6" s="31" t="s">
        <v>574</v>
      </c>
      <c r="L6" s="31" t="s">
        <v>575</v>
      </c>
      <c r="M6" s="31" t="s">
        <v>601</v>
      </c>
    </row>
    <row r="7" spans="1:5" s="14" customFormat="1" ht="12.75">
      <c r="A7" s="77" t="s">
        <v>177</v>
      </c>
      <c r="B7" s="77"/>
      <c r="C7" s="77"/>
      <c r="D7" s="14" t="s">
        <v>3</v>
      </c>
      <c r="E7" s="14" t="s">
        <v>3</v>
      </c>
    </row>
    <row r="8" spans="1:13" ht="12">
      <c r="A8" s="74" t="s">
        <v>8</v>
      </c>
      <c r="B8" s="96" t="s">
        <v>11</v>
      </c>
      <c r="C8" s="74"/>
      <c r="D8" s="19" t="s">
        <v>116</v>
      </c>
      <c r="E8" s="19" t="s">
        <v>116</v>
      </c>
      <c r="F8" s="1">
        <v>9760</v>
      </c>
      <c r="G8" s="1">
        <v>10138</v>
      </c>
      <c r="H8" s="1">
        <v>10885</v>
      </c>
      <c r="I8" s="1">
        <v>12539</v>
      </c>
      <c r="J8" s="1">
        <v>10553</v>
      </c>
      <c r="K8" s="1">
        <v>10479</v>
      </c>
      <c r="L8" s="1">
        <v>11036</v>
      </c>
      <c r="M8" s="1">
        <v>13352</v>
      </c>
    </row>
    <row r="9" spans="1:13" ht="12">
      <c r="A9" s="74" t="s">
        <v>8</v>
      </c>
      <c r="B9" s="96" t="s">
        <v>11</v>
      </c>
      <c r="C9" s="74" t="s">
        <v>168</v>
      </c>
      <c r="D9" s="19" t="s">
        <v>172</v>
      </c>
      <c r="E9" s="19" t="s">
        <v>172</v>
      </c>
      <c r="F9" s="2">
        <v>6.8</v>
      </c>
      <c r="G9" s="2">
        <v>4.1</v>
      </c>
      <c r="H9" s="2">
        <v>4.8</v>
      </c>
      <c r="I9" s="2">
        <v>3.6</v>
      </c>
      <c r="J9" s="2">
        <v>4.4</v>
      </c>
      <c r="K9" s="2">
        <v>0.8</v>
      </c>
      <c r="L9" s="2">
        <v>-1.8</v>
      </c>
      <c r="M9" s="2">
        <v>3.3</v>
      </c>
    </row>
    <row r="10" spans="1:13" ht="12">
      <c r="A10" s="74" t="s">
        <v>8</v>
      </c>
      <c r="B10" s="96" t="s">
        <v>11</v>
      </c>
      <c r="C10" s="74" t="s">
        <v>168</v>
      </c>
      <c r="D10" s="19" t="s">
        <v>559</v>
      </c>
      <c r="E10" s="19" t="s">
        <v>559</v>
      </c>
      <c r="F10" s="2">
        <v>1.1</v>
      </c>
      <c r="G10" s="2">
        <v>1</v>
      </c>
      <c r="H10" s="2">
        <v>0.4</v>
      </c>
      <c r="I10" s="2">
        <v>0.3</v>
      </c>
      <c r="J10" s="2">
        <v>0.3</v>
      </c>
      <c r="K10" s="2">
        <v>0.2</v>
      </c>
      <c r="L10" s="2">
        <v>0</v>
      </c>
      <c r="M10" s="2">
        <v>0</v>
      </c>
    </row>
    <row r="11" spans="1:13" ht="12">
      <c r="A11" s="74" t="s">
        <v>8</v>
      </c>
      <c r="B11" s="96" t="s">
        <v>11</v>
      </c>
      <c r="C11" s="74"/>
      <c r="D11" s="19" t="s">
        <v>118</v>
      </c>
      <c r="E11" s="19" t="s">
        <v>118</v>
      </c>
      <c r="F11" s="1">
        <v>610</v>
      </c>
      <c r="G11" s="1">
        <v>-286</v>
      </c>
      <c r="H11" s="1">
        <v>749</v>
      </c>
      <c r="I11" s="1">
        <v>1055</v>
      </c>
      <c r="J11" s="1">
        <v>686</v>
      </c>
      <c r="K11" s="1">
        <v>576</v>
      </c>
      <c r="L11" s="1">
        <v>93</v>
      </c>
      <c r="M11" s="1">
        <v>1138</v>
      </c>
    </row>
    <row r="12" spans="1:13" ht="12">
      <c r="A12" s="74" t="s">
        <v>8</v>
      </c>
      <c r="B12" s="96" t="s">
        <v>11</v>
      </c>
      <c r="C12" s="74" t="s">
        <v>168</v>
      </c>
      <c r="D12" s="19" t="s">
        <v>169</v>
      </c>
      <c r="E12" s="19" t="s">
        <v>169</v>
      </c>
      <c r="F12" s="2">
        <v>6.2</v>
      </c>
      <c r="G12" s="2">
        <v>-2.8</v>
      </c>
      <c r="H12" s="2">
        <v>6.9</v>
      </c>
      <c r="I12" s="2">
        <v>8.4</v>
      </c>
      <c r="J12" s="2">
        <v>6.5</v>
      </c>
      <c r="K12" s="2">
        <v>5.5</v>
      </c>
      <c r="L12" s="2">
        <f>+L11/L8*100</f>
        <v>0.8426966292134831</v>
      </c>
      <c r="M12" s="2">
        <f>+M11/M8*100</f>
        <v>8.523067705212702</v>
      </c>
    </row>
    <row r="13" spans="1:13" ht="14.25">
      <c r="A13" s="74" t="s">
        <v>8</v>
      </c>
      <c r="B13" s="96" t="s">
        <v>11</v>
      </c>
      <c r="C13" s="74"/>
      <c r="D13" s="19" t="s">
        <v>222</v>
      </c>
      <c r="E13" s="19" t="s">
        <v>222</v>
      </c>
      <c r="F13" s="1">
        <v>610</v>
      </c>
      <c r="G13" s="1">
        <v>532</v>
      </c>
      <c r="H13" s="1">
        <v>749</v>
      </c>
      <c r="I13" s="1">
        <v>984</v>
      </c>
      <c r="J13" s="1">
        <v>686</v>
      </c>
      <c r="K13" s="1">
        <v>576</v>
      </c>
      <c r="L13" s="1">
        <v>845</v>
      </c>
      <c r="M13" s="1">
        <v>1138</v>
      </c>
    </row>
    <row r="14" spans="1:13" ht="14.25">
      <c r="A14" s="74" t="s">
        <v>8</v>
      </c>
      <c r="B14" s="235" t="s">
        <v>237</v>
      </c>
      <c r="C14" s="74" t="s">
        <v>168</v>
      </c>
      <c r="D14" s="97" t="s">
        <v>223</v>
      </c>
      <c r="E14" s="97" t="s">
        <v>223</v>
      </c>
      <c r="F14" s="2">
        <v>6.2</v>
      </c>
      <c r="G14" s="2">
        <v>5.3</v>
      </c>
      <c r="H14" s="2">
        <v>6.9</v>
      </c>
      <c r="I14" s="2">
        <v>7.9</v>
      </c>
      <c r="J14" s="2">
        <v>6.5</v>
      </c>
      <c r="K14" s="2">
        <v>5.5</v>
      </c>
      <c r="L14" s="2">
        <f>+L13/L8*100</f>
        <v>7.656759695541863</v>
      </c>
      <c r="M14" s="2">
        <f>+M13/M8*100</f>
        <v>8.523067705212702</v>
      </c>
    </row>
    <row r="15" spans="1:3" ht="12">
      <c r="A15" s="74" t="s">
        <v>10</v>
      </c>
      <c r="B15" s="74"/>
      <c r="C15" s="74"/>
    </row>
    <row r="16" spans="1:5" ht="12">
      <c r="A16" s="74" t="s">
        <v>16</v>
      </c>
      <c r="D16" s="231" t="s">
        <v>209</v>
      </c>
      <c r="E16" s="231" t="s">
        <v>209</v>
      </c>
    </row>
    <row r="17" spans="1:5" ht="12">
      <c r="A17" s="74" t="s">
        <v>16</v>
      </c>
      <c r="D17" s="17" t="s">
        <v>553</v>
      </c>
      <c r="E17" s="17" t="s">
        <v>553</v>
      </c>
    </row>
    <row r="18" spans="1:5" ht="12">
      <c r="A18" s="74" t="s">
        <v>10</v>
      </c>
      <c r="B18" s="17"/>
      <c r="C18" s="17"/>
      <c r="D18" s="17"/>
      <c r="E18" s="17"/>
    </row>
    <row r="19" spans="1:11" s="17" customFormat="1" ht="137.25">
      <c r="A19" s="74" t="s">
        <v>619</v>
      </c>
      <c r="E19" s="63" t="s">
        <v>620</v>
      </c>
      <c r="F19" s="57"/>
      <c r="G19" s="57"/>
      <c r="H19" s="57"/>
      <c r="I19" s="57"/>
      <c r="J19" s="57"/>
      <c r="K19" s="57"/>
    </row>
    <row r="20" ht="12">
      <c r="E20" s="19"/>
    </row>
    <row r="21" ht="12">
      <c r="E21" s="19"/>
    </row>
    <row r="22" ht="12">
      <c r="E22" s="19"/>
    </row>
    <row r="23" ht="12">
      <c r="E23" s="19"/>
    </row>
    <row r="24" ht="12">
      <c r="E24" s="1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&amp;L&amp;D/&amp;F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8">
    <pageSetUpPr fitToPage="1"/>
  </sheetPr>
  <dimension ref="A1:M19"/>
  <sheetViews>
    <sheetView zoomScalePageLayoutView="0" workbookViewId="0" topLeftCell="A1">
      <selection activeCell="A19" sqref="A19:IV19"/>
    </sheetView>
  </sheetViews>
  <sheetFormatPr defaultColWidth="9.140625" defaultRowHeight="12.75"/>
  <cols>
    <col min="1" max="1" width="11.28125" style="69" bestFit="1" customWidth="1"/>
    <col min="2" max="2" width="12.28125" style="0" customWidth="1"/>
    <col min="3" max="3" width="11.28125" style="0" customWidth="1"/>
    <col min="4" max="4" width="31.00390625" style="0" hidden="1" customWidth="1"/>
    <col min="5" max="5" width="39.00390625" style="0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2.75">
      <c r="A4" s="69" t="s">
        <v>6</v>
      </c>
      <c r="B4" s="33" t="s">
        <v>33</v>
      </c>
      <c r="C4" s="17"/>
      <c r="D4" s="53" t="s">
        <v>200</v>
      </c>
      <c r="E4" s="53" t="s">
        <v>200</v>
      </c>
    </row>
    <row r="5" spans="1:13" ht="12.75">
      <c r="A5" s="74"/>
      <c r="B5" s="33" t="s">
        <v>35</v>
      </c>
      <c r="C5" s="39" t="s">
        <v>139</v>
      </c>
      <c r="D5" s="44"/>
      <c r="E5" s="44"/>
      <c r="F5" s="59"/>
      <c r="G5" s="59"/>
      <c r="H5" s="59"/>
      <c r="I5" s="59"/>
      <c r="J5" s="59"/>
      <c r="K5" s="59"/>
      <c r="L5" s="59"/>
      <c r="M5" s="59"/>
    </row>
    <row r="6" spans="1:13" ht="15">
      <c r="A6" s="70" t="s">
        <v>7</v>
      </c>
      <c r="B6" s="42" t="s">
        <v>34</v>
      </c>
      <c r="C6" s="39" t="s">
        <v>139</v>
      </c>
      <c r="D6" s="51" t="s">
        <v>138</v>
      </c>
      <c r="E6" s="51" t="s">
        <v>138</v>
      </c>
      <c r="F6" s="31" t="s">
        <v>554</v>
      </c>
      <c r="G6" s="31" t="s">
        <v>555</v>
      </c>
      <c r="H6" s="31" t="s">
        <v>556</v>
      </c>
      <c r="I6" s="31" t="s">
        <v>557</v>
      </c>
      <c r="J6" s="31" t="s">
        <v>230</v>
      </c>
      <c r="K6" s="31" t="s">
        <v>574</v>
      </c>
      <c r="L6" s="31" t="s">
        <v>575</v>
      </c>
      <c r="M6" s="31" t="s">
        <v>601</v>
      </c>
    </row>
    <row r="7" spans="1:5" s="14" customFormat="1" ht="12.75">
      <c r="A7" s="77" t="s">
        <v>177</v>
      </c>
      <c r="B7" s="77"/>
      <c r="C7" s="77"/>
      <c r="D7" s="14" t="s">
        <v>3</v>
      </c>
      <c r="E7" s="14" t="s">
        <v>3</v>
      </c>
    </row>
    <row r="8" spans="1:13" ht="12">
      <c r="A8" s="74" t="s">
        <v>8</v>
      </c>
      <c r="B8" s="96" t="s">
        <v>11</v>
      </c>
      <c r="C8" s="74"/>
      <c r="D8" s="19" t="s">
        <v>116</v>
      </c>
      <c r="E8" s="19" t="s">
        <v>116</v>
      </c>
      <c r="F8" s="1">
        <v>8785</v>
      </c>
      <c r="G8" s="1">
        <v>10804</v>
      </c>
      <c r="H8" s="1">
        <v>10072</v>
      </c>
      <c r="I8" s="1">
        <v>10143</v>
      </c>
      <c r="J8" s="1">
        <v>9099</v>
      </c>
      <c r="K8" s="1">
        <v>10255</v>
      </c>
      <c r="L8" s="1">
        <v>10880</v>
      </c>
      <c r="M8" s="1">
        <v>8719</v>
      </c>
    </row>
    <row r="9" spans="1:13" ht="12">
      <c r="A9" s="74" t="s">
        <v>8</v>
      </c>
      <c r="B9" s="96" t="s">
        <v>11</v>
      </c>
      <c r="C9" s="74" t="s">
        <v>168</v>
      </c>
      <c r="D9" s="19" t="s">
        <v>172</v>
      </c>
      <c r="E9" s="19" t="s">
        <v>172</v>
      </c>
      <c r="F9" s="2">
        <v>-5.9</v>
      </c>
      <c r="G9" s="2">
        <v>-10.2</v>
      </c>
      <c r="H9" s="2">
        <v>-4.6</v>
      </c>
      <c r="I9" s="2">
        <v>-4</v>
      </c>
      <c r="J9" s="2">
        <v>-5</v>
      </c>
      <c r="K9" s="2">
        <v>-10.8</v>
      </c>
      <c r="L9" s="2">
        <v>-0.2</v>
      </c>
      <c r="M9" s="2">
        <v>-18.3</v>
      </c>
    </row>
    <row r="10" spans="1:13" ht="12">
      <c r="A10" s="74" t="s">
        <v>8</v>
      </c>
      <c r="B10" s="96" t="s">
        <v>11</v>
      </c>
      <c r="C10" s="74" t="s">
        <v>168</v>
      </c>
      <c r="D10" s="19" t="s">
        <v>559</v>
      </c>
      <c r="E10" s="19" t="s">
        <v>559</v>
      </c>
      <c r="F10" s="2">
        <v>0.5</v>
      </c>
      <c r="G10" s="2">
        <v>0</v>
      </c>
      <c r="H10" s="2">
        <v>-1.7</v>
      </c>
      <c r="I10" s="2">
        <v>-2.4</v>
      </c>
      <c r="J10" s="2">
        <v>-2</v>
      </c>
      <c r="K10" s="2">
        <v>-1.5</v>
      </c>
      <c r="L10" s="2">
        <v>-0.4</v>
      </c>
      <c r="M10" s="2">
        <v>0</v>
      </c>
    </row>
    <row r="11" spans="1:13" ht="12">
      <c r="A11" s="74" t="s">
        <v>8</v>
      </c>
      <c r="B11" s="96" t="s">
        <v>11</v>
      </c>
      <c r="C11" s="74"/>
      <c r="D11" s="19" t="s">
        <v>118</v>
      </c>
      <c r="E11" s="19" t="s">
        <v>118</v>
      </c>
      <c r="F11" s="1">
        <v>-148</v>
      </c>
      <c r="G11" s="1">
        <v>670</v>
      </c>
      <c r="H11" s="1">
        <v>358</v>
      </c>
      <c r="I11" s="1">
        <v>223</v>
      </c>
      <c r="J11" s="1">
        <v>-482</v>
      </c>
      <c r="K11" s="1">
        <v>504</v>
      </c>
      <c r="L11" s="1">
        <v>-20</v>
      </c>
      <c r="M11" s="1">
        <v>-519</v>
      </c>
    </row>
    <row r="12" spans="1:13" ht="12">
      <c r="A12" s="74" t="s">
        <v>8</v>
      </c>
      <c r="B12" s="96" t="s">
        <v>11</v>
      </c>
      <c r="C12" s="74" t="s">
        <v>168</v>
      </c>
      <c r="D12" s="19" t="s">
        <v>169</v>
      </c>
      <c r="E12" s="19" t="s">
        <v>169</v>
      </c>
      <c r="F12" s="2">
        <v>-1.7</v>
      </c>
      <c r="G12" s="2">
        <v>6.2</v>
      </c>
      <c r="H12" s="2">
        <v>3.6</v>
      </c>
      <c r="I12" s="2">
        <v>2.2</v>
      </c>
      <c r="J12" s="2">
        <v>-5.3</v>
      </c>
      <c r="K12" s="2">
        <v>4.9</v>
      </c>
      <c r="L12" s="2">
        <f>+L11/L8*100</f>
        <v>-0.1838235294117647</v>
      </c>
      <c r="M12" s="2">
        <f>+M11/M8*100+0.1</f>
        <v>-5.852517490537906</v>
      </c>
    </row>
    <row r="13" spans="1:13" ht="14.25">
      <c r="A13" s="74" t="s">
        <v>8</v>
      </c>
      <c r="B13" s="96" t="s">
        <v>11</v>
      </c>
      <c r="C13" s="74"/>
      <c r="D13" s="19" t="s">
        <v>222</v>
      </c>
      <c r="E13" s="19" t="s">
        <v>222</v>
      </c>
      <c r="F13" s="1">
        <v>448</v>
      </c>
      <c r="G13" s="1">
        <v>670</v>
      </c>
      <c r="H13" s="1">
        <v>358</v>
      </c>
      <c r="I13" s="1">
        <v>223</v>
      </c>
      <c r="J13" s="1">
        <v>347</v>
      </c>
      <c r="K13" s="1">
        <v>504</v>
      </c>
      <c r="L13" s="1">
        <v>222</v>
      </c>
      <c r="M13" s="1">
        <v>-519</v>
      </c>
    </row>
    <row r="14" spans="1:13" ht="14.25">
      <c r="A14" s="74" t="s">
        <v>8</v>
      </c>
      <c r="B14" s="235" t="s">
        <v>237</v>
      </c>
      <c r="C14" s="74" t="s">
        <v>168</v>
      </c>
      <c r="D14" s="97" t="s">
        <v>223</v>
      </c>
      <c r="E14" s="97" t="s">
        <v>223</v>
      </c>
      <c r="F14" s="2">
        <v>5.1</v>
      </c>
      <c r="G14" s="2">
        <v>6.2</v>
      </c>
      <c r="H14" s="2">
        <v>3.6</v>
      </c>
      <c r="I14" s="2">
        <v>2.2</v>
      </c>
      <c r="J14" s="2">
        <v>3.8</v>
      </c>
      <c r="K14" s="2">
        <v>4.9</v>
      </c>
      <c r="L14" s="2">
        <f>+L13/L8*100</f>
        <v>2.0404411764705883</v>
      </c>
      <c r="M14" s="2">
        <f>+M13/M8*100+0.1</f>
        <v>-5.852517490537906</v>
      </c>
    </row>
    <row r="15" spans="1:3" ht="12">
      <c r="A15" s="74" t="s">
        <v>10</v>
      </c>
      <c r="B15" s="74"/>
      <c r="C15" s="74"/>
    </row>
    <row r="16" spans="1:5" ht="12">
      <c r="A16" s="74" t="s">
        <v>16</v>
      </c>
      <c r="D16" s="231" t="s">
        <v>209</v>
      </c>
      <c r="E16" s="231" t="s">
        <v>209</v>
      </c>
    </row>
    <row r="17" spans="1:5" ht="12">
      <c r="A17" s="74" t="s">
        <v>16</v>
      </c>
      <c r="D17" s="17" t="s">
        <v>553</v>
      </c>
      <c r="E17" s="17" t="s">
        <v>553</v>
      </c>
    </row>
    <row r="18" spans="1:5" ht="12">
      <c r="A18" s="74" t="s">
        <v>10</v>
      </c>
      <c r="B18" s="17"/>
      <c r="C18" s="17"/>
      <c r="D18" s="17"/>
      <c r="E18" s="17"/>
    </row>
    <row r="19" spans="1:11" s="17" customFormat="1" ht="137.25">
      <c r="A19" s="74" t="s">
        <v>619</v>
      </c>
      <c r="E19" s="63" t="s">
        <v>620</v>
      </c>
      <c r="F19" s="57"/>
      <c r="G19" s="57"/>
      <c r="H19" s="57"/>
      <c r="I19" s="57"/>
      <c r="J19" s="57"/>
      <c r="K19" s="5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&amp;L&amp;D/&amp;F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pageSetUpPr fitToPage="1"/>
  </sheetPr>
  <dimension ref="A1:M19"/>
  <sheetViews>
    <sheetView zoomScale="90" zoomScaleNormal="90" zoomScalePageLayoutView="0" workbookViewId="0" topLeftCell="A1">
      <selection activeCell="A19" sqref="A19:IV19"/>
    </sheetView>
  </sheetViews>
  <sheetFormatPr defaultColWidth="9.140625" defaultRowHeight="12.75"/>
  <cols>
    <col min="1" max="1" width="11.28125" style="69" bestFit="1" customWidth="1"/>
    <col min="2" max="2" width="12.28125" style="0" customWidth="1"/>
    <col min="3" max="3" width="11.28125" style="0" customWidth="1"/>
    <col min="4" max="4" width="31.00390625" style="0" hidden="1" customWidth="1"/>
    <col min="5" max="5" width="39.00390625" style="0" customWidth="1"/>
  </cols>
  <sheetData>
    <row r="1" spans="1:5" ht="18">
      <c r="A1" s="71">
        <v>43861</v>
      </c>
      <c r="B1" s="33" t="s">
        <v>26</v>
      </c>
      <c r="C1" s="34"/>
      <c r="D1" s="35" t="str">
        <f>Company</f>
        <v>AB Electrolux</v>
      </c>
      <c r="E1" s="35" t="str">
        <f>Company</f>
        <v>AB Electrolux</v>
      </c>
    </row>
    <row r="2" spans="1:5" ht="12">
      <c r="A2" s="72"/>
      <c r="B2" s="33" t="s">
        <v>28</v>
      </c>
      <c r="C2" s="34"/>
      <c r="D2" s="36">
        <f>A1</f>
        <v>43861</v>
      </c>
      <c r="E2" s="37">
        <f>+A1</f>
        <v>43861</v>
      </c>
    </row>
    <row r="3" spans="1:5" ht="12.75">
      <c r="A3" s="72"/>
      <c r="B3" s="33" t="s">
        <v>29</v>
      </c>
      <c r="C3" s="34" t="s">
        <v>30</v>
      </c>
      <c r="D3" s="38" t="s">
        <v>31</v>
      </c>
      <c r="E3" s="38" t="s">
        <v>32</v>
      </c>
    </row>
    <row r="4" spans="1:5" ht="12.75">
      <c r="A4" s="69" t="s">
        <v>6</v>
      </c>
      <c r="B4" s="33" t="s">
        <v>33</v>
      </c>
      <c r="C4" s="17"/>
      <c r="D4" s="53" t="s">
        <v>201</v>
      </c>
      <c r="E4" s="53" t="s">
        <v>201</v>
      </c>
    </row>
    <row r="5" spans="1:13" ht="12.75">
      <c r="A5" s="74"/>
      <c r="B5" s="33" t="s">
        <v>35</v>
      </c>
      <c r="C5" s="39" t="s">
        <v>139</v>
      </c>
      <c r="D5" s="44"/>
      <c r="E5" s="44"/>
      <c r="F5" s="59"/>
      <c r="G5" s="59"/>
      <c r="H5" s="59"/>
      <c r="I5" s="59"/>
      <c r="J5" s="59"/>
      <c r="K5" s="59"/>
      <c r="L5" s="59"/>
      <c r="M5" s="59"/>
    </row>
    <row r="6" spans="1:13" ht="15">
      <c r="A6" s="70" t="s">
        <v>7</v>
      </c>
      <c r="B6" s="42" t="s">
        <v>34</v>
      </c>
      <c r="C6" s="39" t="s">
        <v>139</v>
      </c>
      <c r="D6" s="51" t="s">
        <v>138</v>
      </c>
      <c r="E6" s="51" t="s">
        <v>138</v>
      </c>
      <c r="F6" s="31" t="s">
        <v>554</v>
      </c>
      <c r="G6" s="31" t="s">
        <v>555</v>
      </c>
      <c r="H6" s="31" t="s">
        <v>556</v>
      </c>
      <c r="I6" s="31" t="s">
        <v>557</v>
      </c>
      <c r="J6" s="31" t="s">
        <v>230</v>
      </c>
      <c r="K6" s="31" t="s">
        <v>574</v>
      </c>
      <c r="L6" s="31" t="s">
        <v>575</v>
      </c>
      <c r="M6" s="31" t="s">
        <v>601</v>
      </c>
    </row>
    <row r="7" spans="1:5" s="14" customFormat="1" ht="12.75">
      <c r="A7" s="77" t="s">
        <v>177</v>
      </c>
      <c r="B7" s="77"/>
      <c r="C7" s="77"/>
      <c r="D7" s="14" t="s">
        <v>3</v>
      </c>
      <c r="E7" s="14" t="s">
        <v>3</v>
      </c>
    </row>
    <row r="8" spans="1:13" ht="12">
      <c r="A8" s="74" t="s">
        <v>8</v>
      </c>
      <c r="B8" s="96" t="s">
        <v>11</v>
      </c>
      <c r="C8" s="74"/>
      <c r="D8" s="19" t="s">
        <v>116</v>
      </c>
      <c r="E8" s="19" t="s">
        <v>116</v>
      </c>
      <c r="F8" s="1">
        <v>4247</v>
      </c>
      <c r="G8" s="1">
        <v>4518</v>
      </c>
      <c r="H8" s="1">
        <v>3845</v>
      </c>
      <c r="I8" s="1">
        <v>5353</v>
      </c>
      <c r="J8" s="1">
        <v>4312</v>
      </c>
      <c r="K8" s="1">
        <v>4816</v>
      </c>
      <c r="L8" s="1">
        <v>4613</v>
      </c>
      <c r="M8" s="1">
        <v>5913</v>
      </c>
    </row>
    <row r="9" spans="1:13" ht="12">
      <c r="A9" s="74" t="s">
        <v>8</v>
      </c>
      <c r="B9" s="96" t="s">
        <v>11</v>
      </c>
      <c r="C9" s="74" t="s">
        <v>168</v>
      </c>
      <c r="D9" s="19" t="s">
        <v>172</v>
      </c>
      <c r="E9" s="19" t="s">
        <v>172</v>
      </c>
      <c r="F9" s="2">
        <v>5.9</v>
      </c>
      <c r="G9" s="2">
        <v>19.5</v>
      </c>
      <c r="H9" s="2">
        <v>0.4</v>
      </c>
      <c r="I9" s="2">
        <v>11.8</v>
      </c>
      <c r="J9" s="2">
        <v>6.9</v>
      </c>
      <c r="K9" s="2">
        <v>8.3</v>
      </c>
      <c r="L9" s="2">
        <v>14.2</v>
      </c>
      <c r="M9" s="2">
        <v>13.9</v>
      </c>
    </row>
    <row r="10" spans="1:13" ht="12">
      <c r="A10" s="74" t="s">
        <v>8</v>
      </c>
      <c r="B10" s="96" t="s">
        <v>11</v>
      </c>
      <c r="C10" s="74" t="s">
        <v>168</v>
      </c>
      <c r="D10" s="19" t="s">
        <v>559</v>
      </c>
      <c r="E10" s="19" t="s">
        <v>559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1:13" ht="12">
      <c r="A11" s="74" t="s">
        <v>8</v>
      </c>
      <c r="B11" s="96" t="s">
        <v>11</v>
      </c>
      <c r="C11" s="74"/>
      <c r="D11" s="19" t="s">
        <v>118</v>
      </c>
      <c r="E11" s="19" t="s">
        <v>118</v>
      </c>
      <c r="F11" s="1">
        <v>35</v>
      </c>
      <c r="G11" s="1">
        <v>-38</v>
      </c>
      <c r="H11" s="1">
        <v>205</v>
      </c>
      <c r="I11" s="1">
        <v>290</v>
      </c>
      <c r="J11" s="1">
        <v>-223</v>
      </c>
      <c r="K11" s="1">
        <v>164</v>
      </c>
      <c r="L11" s="1">
        <v>1539</v>
      </c>
      <c r="M11" s="1">
        <v>340</v>
      </c>
    </row>
    <row r="12" spans="1:13" ht="12">
      <c r="A12" s="74" t="s">
        <v>8</v>
      </c>
      <c r="B12" s="96" t="s">
        <v>11</v>
      </c>
      <c r="C12" s="74" t="s">
        <v>168</v>
      </c>
      <c r="D12" s="19" t="s">
        <v>169</v>
      </c>
      <c r="E12" s="19" t="s">
        <v>169</v>
      </c>
      <c r="F12" s="2">
        <v>0.8</v>
      </c>
      <c r="G12" s="2">
        <v>-0.8</v>
      </c>
      <c r="H12" s="2">
        <v>5.3</v>
      </c>
      <c r="I12" s="2">
        <v>5.4</v>
      </c>
      <c r="J12" s="2">
        <v>-5.2</v>
      </c>
      <c r="K12" s="2">
        <v>3.4</v>
      </c>
      <c r="L12" s="2">
        <f>+L11/L8*100</f>
        <v>33.36223715586386</v>
      </c>
      <c r="M12" s="2">
        <f>+M11/M8*100</f>
        <v>5.750042279722645</v>
      </c>
    </row>
    <row r="13" spans="1:13" ht="14.25">
      <c r="A13" s="74" t="s">
        <v>8</v>
      </c>
      <c r="B13" s="96" t="s">
        <v>11</v>
      </c>
      <c r="C13" s="74"/>
      <c r="D13" s="19" t="s">
        <v>222</v>
      </c>
      <c r="E13" s="19" t="s">
        <v>222</v>
      </c>
      <c r="F13" s="1">
        <v>35</v>
      </c>
      <c r="G13" s="1">
        <v>-38</v>
      </c>
      <c r="H13" s="1">
        <v>205</v>
      </c>
      <c r="I13" s="1">
        <v>290</v>
      </c>
      <c r="J13" s="1">
        <v>2</v>
      </c>
      <c r="K13" s="1">
        <v>164</v>
      </c>
      <c r="L13" s="1">
        <v>213</v>
      </c>
      <c r="M13" s="1">
        <v>340</v>
      </c>
    </row>
    <row r="14" spans="1:13" ht="14.25">
      <c r="A14" s="74" t="s">
        <v>8</v>
      </c>
      <c r="B14" s="235" t="s">
        <v>237</v>
      </c>
      <c r="C14" s="74" t="s">
        <v>168</v>
      </c>
      <c r="D14" s="97" t="s">
        <v>223</v>
      </c>
      <c r="E14" s="97" t="s">
        <v>223</v>
      </c>
      <c r="F14" s="2">
        <v>0.8</v>
      </c>
      <c r="G14" s="2">
        <v>-0.8</v>
      </c>
      <c r="H14" s="2">
        <v>5.3</v>
      </c>
      <c r="I14" s="2">
        <v>5.4</v>
      </c>
      <c r="J14" s="2">
        <v>0.1</v>
      </c>
      <c r="K14" s="2">
        <v>3.4</v>
      </c>
      <c r="L14" s="2">
        <f>+L13/L8*100</f>
        <v>4.617385649252113</v>
      </c>
      <c r="M14" s="2">
        <f>+M13/M8*100</f>
        <v>5.750042279722645</v>
      </c>
    </row>
    <row r="15" spans="1:3" ht="12">
      <c r="A15" s="74" t="s">
        <v>10</v>
      </c>
      <c r="B15" s="74"/>
      <c r="C15" s="74"/>
    </row>
    <row r="16" spans="1:5" ht="12">
      <c r="A16" s="74" t="s">
        <v>16</v>
      </c>
      <c r="D16" s="231" t="s">
        <v>209</v>
      </c>
      <c r="E16" s="231" t="s">
        <v>209</v>
      </c>
    </row>
    <row r="17" spans="1:5" ht="12">
      <c r="A17" s="74" t="s">
        <v>16</v>
      </c>
      <c r="D17" s="17" t="s">
        <v>553</v>
      </c>
      <c r="E17" s="17" t="s">
        <v>553</v>
      </c>
    </row>
    <row r="18" spans="1:5" ht="12">
      <c r="A18" s="74" t="s">
        <v>10</v>
      </c>
      <c r="B18" s="17"/>
      <c r="C18" s="17"/>
      <c r="D18" s="17"/>
      <c r="E18" s="17"/>
    </row>
    <row r="19" spans="1:11" s="17" customFormat="1" ht="137.25">
      <c r="A19" s="74" t="s">
        <v>619</v>
      </c>
      <c r="E19" s="63" t="s">
        <v>620</v>
      </c>
      <c r="F19" s="57"/>
      <c r="G19" s="57"/>
      <c r="H19" s="57"/>
      <c r="I19" s="57"/>
      <c r="J19" s="57"/>
      <c r="K19" s="5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&amp;L&amp;D/&amp;F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Björn Andersson</dc:creator>
  <cp:keywords/>
  <dc:description/>
  <cp:lastModifiedBy>Anne-Liis Malmberg</cp:lastModifiedBy>
  <cp:lastPrinted>2020-01-29T12:59:14Z</cp:lastPrinted>
  <dcterms:created xsi:type="dcterms:W3CDTF">2009-08-26T11:31:12Z</dcterms:created>
  <dcterms:modified xsi:type="dcterms:W3CDTF">2020-03-16T11:12:58Z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PII Data</vt:lpwstr>
  </property>
  <property fmtid="{D5CDD505-2E9C-101B-9397-08002B2CF9AE}" pid="3" name="MSIP_Label_477eab6e-04c6-4822-9252-98ab9f25736b_Enabled">
    <vt:lpwstr>True</vt:lpwstr>
  </property>
  <property fmtid="{D5CDD505-2E9C-101B-9397-08002B2CF9AE}" pid="4" name="MSIP_Label_477eab6e-04c6-4822-9252-98ab9f25736b_SiteId">
    <vt:lpwstr>d2007bef-127d-4591-97ac-10d72fe28031</vt:lpwstr>
  </property>
  <property fmtid="{D5CDD505-2E9C-101B-9397-08002B2CF9AE}" pid="5" name="MSIP_Label_477eab6e-04c6-4822-9252-98ab9f25736b_Owner">
    <vt:lpwstr>viveca.dominguez@electrolux.com</vt:lpwstr>
  </property>
  <property fmtid="{D5CDD505-2E9C-101B-9397-08002B2CF9AE}" pid="6" name="MSIP_Label_477eab6e-04c6-4822-9252-98ab9f25736b_SetDate">
    <vt:lpwstr>2020-02-07T08:00:01.8074642Z</vt:lpwstr>
  </property>
  <property fmtid="{D5CDD505-2E9C-101B-9397-08002B2CF9AE}" pid="7" name="MSIP_Label_477eab6e-04c6-4822-9252-98ab9f25736b_Name">
    <vt:lpwstr>Internal</vt:lpwstr>
  </property>
  <property fmtid="{D5CDD505-2E9C-101B-9397-08002B2CF9AE}" pid="8" name="MSIP_Label_477eab6e-04c6-4822-9252-98ab9f25736b_Application">
    <vt:lpwstr>Microsoft Azure Information Protection</vt:lpwstr>
  </property>
  <property fmtid="{D5CDD505-2E9C-101B-9397-08002B2CF9AE}" pid="9" name="MSIP_Label_477eab6e-04c6-4822-9252-98ab9f25736b_ActionId">
    <vt:lpwstr>b423d282-b097-4132-8644-df8208402ba7</vt:lpwstr>
  </property>
  <property fmtid="{D5CDD505-2E9C-101B-9397-08002B2CF9AE}" pid="10" name="MSIP_Label_477eab6e-04c6-4822-9252-98ab9f25736b_Extended_MSFT_Method">
    <vt:lpwstr>Automatic</vt:lpwstr>
  </property>
  <property fmtid="{D5CDD505-2E9C-101B-9397-08002B2CF9AE}" pid="11" name="MSIP_Label_eec6c630-c8f3-4343-afbc-e0d818e994e3_Enabled">
    <vt:lpwstr>True</vt:lpwstr>
  </property>
  <property fmtid="{D5CDD505-2E9C-101B-9397-08002B2CF9AE}" pid="12" name="MSIP_Label_eec6c630-c8f3-4343-afbc-e0d818e994e3_SiteId">
    <vt:lpwstr>ffeebe53-4714-40e9-81b1-cb5984a2ddfd</vt:lpwstr>
  </property>
  <property fmtid="{D5CDD505-2E9C-101B-9397-08002B2CF9AE}" pid="13" name="MSIP_Label_eec6c630-c8f3-4343-afbc-e0d818e994e3_Owner">
    <vt:lpwstr>Per-Ragnar.Lindfors@investis.com</vt:lpwstr>
  </property>
  <property fmtid="{D5CDD505-2E9C-101B-9397-08002B2CF9AE}" pid="14" name="MSIP_Label_eec6c630-c8f3-4343-afbc-e0d818e994e3_SetDate">
    <vt:lpwstr>2018-10-26T06:22:26.2689353Z</vt:lpwstr>
  </property>
  <property fmtid="{D5CDD505-2E9C-101B-9397-08002B2CF9AE}" pid="15" name="MSIP_Label_eec6c630-c8f3-4343-afbc-e0d818e994e3_Name">
    <vt:lpwstr>PII Data</vt:lpwstr>
  </property>
  <property fmtid="{D5CDD505-2E9C-101B-9397-08002B2CF9AE}" pid="16" name="MSIP_Label_eec6c630-c8f3-4343-afbc-e0d818e994e3_Application">
    <vt:lpwstr>Microsoft Azure Information Protection</vt:lpwstr>
  </property>
  <property fmtid="{D5CDD505-2E9C-101B-9397-08002B2CF9AE}" pid="17" name="MSIP_Label_eec6c630-c8f3-4343-afbc-e0d818e994e3_Extended_MSFT_Method">
    <vt:lpwstr>Automatic</vt:lpwstr>
  </property>
  <property fmtid="{D5CDD505-2E9C-101B-9397-08002B2CF9AE}" pid="18" name="Sensitivity">
    <vt:lpwstr>Internal PII Data</vt:lpwstr>
  </property>
</Properties>
</file>