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30744" windowHeight="8436" tabRatio="870" firstSheet="1" activeTab="1"/>
  </bookViews>
  <sheets>
    <sheet name="Period Admin" sheetId="1" state="hidden" r:id="rId1"/>
    <sheet name="Content" sheetId="2" r:id="rId2"/>
    <sheet name="Net_sales_and_income-Q" sheetId="3" r:id="rId3"/>
    <sheet name="Change_in_net_sales-Q" sheetId="4" r:id="rId4"/>
    <sheet name="Financial_Position-Q" sheetId="5" r:id="rId5"/>
    <sheet name="Cash_flow-Q" sheetId="6" r:id="rId6"/>
    <sheet name="Business_Area_LA-Q" sheetId="7" r:id="rId7"/>
    <sheet name="Business_Area_Europe-Q" sheetId="8" r:id="rId8"/>
    <sheet name="Business_Area_NA-Q" sheetId="9" r:id="rId9"/>
    <sheet name="Business_Area_APMEA-Q" sheetId="10" r:id="rId10"/>
    <sheet name="Professional_Products-Q" sheetId="11" r:id="rId11"/>
    <sheet name="Key_ratios-Q" sheetId="12" r:id="rId12"/>
    <sheet name="Net_sales_and_income-Y" sheetId="13" r:id="rId13"/>
    <sheet name="Change_in_net_sales-Y" sheetId="14" r:id="rId14"/>
    <sheet name="Financial_Position-Y" sheetId="15" r:id="rId15"/>
    <sheet name="Cash_flow-Y" sheetId="16" r:id="rId16"/>
    <sheet name="Business_Area_Europe-Y" sheetId="17" r:id="rId17"/>
    <sheet name="Business_Area_NA-Y" sheetId="18" r:id="rId18"/>
    <sheet name="Business_Area_LA-Y" sheetId="19" r:id="rId19"/>
    <sheet name="Business_Area_APMEA-Y" sheetId="20" r:id="rId20"/>
    <sheet name="Professional_Products-Y" sheetId="21" r:id="rId21"/>
    <sheet name="Net_sales_by_country-Y" sheetId="22" r:id="rId22"/>
    <sheet name="Employees_by_country-Y" sheetId="23" r:id="rId23"/>
    <sheet name="Key_ratios-Y" sheetId="24" r:id="rId24"/>
    <sheet name="Data_per_share-Y" sheetId="25" r:id="rId25"/>
    <sheet name="Net_debt-Y" sheetId="26" r:id="rId26"/>
    <sheet name="Rating-Y" sheetId="27" r:id="rId27"/>
    <sheet name="Repayment_schedule-Y" sheetId="28" r:id="rId28"/>
  </sheets>
  <externalReferences>
    <externalReference r:id="rId31"/>
    <externalReference r:id="rId32"/>
  </externalReferences>
  <definedNames>
    <definedName name="_xlfn.SINGLE" hidden="1">#NAME?</definedName>
    <definedName name="AARO_Ack">'Period Admin'!$D$48</definedName>
    <definedName name="AARO_Ack_m1Q">'Period Admin'!$D$49</definedName>
    <definedName name="AARO_Ack_m2Q">'Period Admin'!$D$50</definedName>
    <definedName name="AARO_Ack_m3Q">'Period Admin'!$D$51</definedName>
    <definedName name="AARO_Ack_m4Q">'Period Admin'!$D$52</definedName>
    <definedName name="AARO_Ack_m5Q">'Period Admin'!$D$54</definedName>
    <definedName name="AARO_Ack_m6Q">'Period Admin'!$D$55</definedName>
    <definedName name="AARO_Ack_m7Q">'Period Admin'!$D$56</definedName>
    <definedName name="AARO_Ack_m8Q">'Period Admin'!$D$57</definedName>
    <definedName name="AARO_LastYear">'Period Admin'!$D$53</definedName>
    <definedName name="AARO_LastYear_2">'Period Admin'!$D$58</definedName>
    <definedName name="AARO_Q">'Period Admin'!$D$37</definedName>
    <definedName name="AARO_Q_m1Q">'Period Admin'!$D$38</definedName>
    <definedName name="AARO_Q_m2Q">'Period Admin'!$D$39</definedName>
    <definedName name="AARO_Q_m3Q">'Period Admin'!$D$40</definedName>
    <definedName name="AARO_Q_m4Q">'Period Admin'!$D$41</definedName>
    <definedName name="AARO_Q_m5Q">'Period Admin'!$D$42</definedName>
    <definedName name="AARO_Q_m6Q">'Period Admin'!$D$43</definedName>
    <definedName name="AARO_Q_m7Q">'Period Admin'!$D$44</definedName>
    <definedName name="AARO_Q_m8Q">'Period Admin'!$D$45</definedName>
    <definedName name="ab">'Content'!$C$1</definedName>
    <definedName name="abc">'Content'!$C$1</definedName>
    <definedName name="abcd">'Content'!$C$1</definedName>
    <definedName name="ActAckPer">'Period Admin'!$J$24</definedName>
    <definedName name="ActAckPerR12">'Period Admin'!$J$191</definedName>
    <definedName name="ActFullYear">'Period Admin'!$F$23</definedName>
    <definedName name="ActFullYear_m1Y">'Period Admin'!$F$24</definedName>
    <definedName name="ActFullYearM">'Period Admin'!$F$28</definedName>
    <definedName name="ActFullYearM_1Y">'Period Admin'!$F$29</definedName>
    <definedName name="ActHYear">'Period Admin'!$D$20</definedName>
    <definedName name="ActHYear_m1Y">'Period Admin'!$D$21</definedName>
    <definedName name="ActMon">'Period Admin'!$J$15</definedName>
    <definedName name="ActPer">'Period Admin'!$J$23</definedName>
    <definedName name="ActPer_nMonth">'Period Admin'!$J$7</definedName>
    <definedName name="ActPer_noMonth">'Period Admin'!$J$8</definedName>
    <definedName name="ActPerY">'Period Admin'!$J$22</definedName>
    <definedName name="ActPerYear">'Period Admin'!$J$21</definedName>
    <definedName name="ActQ">'Period Admin'!$J$10</definedName>
    <definedName name="ActQ_Y">'Period Admin'!$J$12</definedName>
    <definedName name="ActQ_Year">'Period Admin'!$J$11</definedName>
    <definedName name="ActQBrDate">'Period Admin'!$J$18</definedName>
    <definedName name="ActQBrDateR12">'Period Admin'!$J$190</definedName>
    <definedName name="ActQBrDateR12Slut">'Period Admin'!$J$189</definedName>
    <definedName name="ActQBrDateR12Start">'Period Admin'!$J$188</definedName>
    <definedName name="ActQBrDateY">'Period Admin'!$J$20</definedName>
    <definedName name="ActQBrDateYear">'Period Admin'!$J$19</definedName>
    <definedName name="ActQBrMDay">'Period Admin'!$J$17</definedName>
    <definedName name="ActQn">'Period Admin'!$J$9</definedName>
    <definedName name="ActQn_Y">'Period Admin'!$J$14</definedName>
    <definedName name="ActQn_Year">'Period Admin'!$J$13</definedName>
    <definedName name="ActY">'Period Admin'!$F$8</definedName>
    <definedName name="ActY_m10Y">'Period Admin'!$F$18</definedName>
    <definedName name="ActY_m1Y">'Period Admin'!$F$9</definedName>
    <definedName name="ActY_m2Y">'Period Admin'!$F$10</definedName>
    <definedName name="ActY_m3Y">'Period Admin'!$F$11</definedName>
    <definedName name="ActY_m4Y">'Period Admin'!$F$12</definedName>
    <definedName name="ActY_m5Y">'Period Admin'!$F$13</definedName>
    <definedName name="ActY_m6Y">'Period Admin'!$F$14</definedName>
    <definedName name="ActY_m7Y">'Period Admin'!$F$15</definedName>
    <definedName name="ActY_m8Y">'Period Admin'!$F$16</definedName>
    <definedName name="ActY_m9Y">'Period Admin'!$F$17</definedName>
    <definedName name="ActYear">'Period Admin'!$D$8</definedName>
    <definedName name="ActYear_m10Y">'Period Admin'!$D$18</definedName>
    <definedName name="ActYear_m1Y">'Period Admin'!$D$9</definedName>
    <definedName name="ActYear_m2Y">'Period Admin'!$D$10</definedName>
    <definedName name="ActYear_m3Y">'Period Admin'!$D$11</definedName>
    <definedName name="ActYear_m4Y">'Period Admin'!$D$12</definedName>
    <definedName name="ActYear_m5Y">'Period Admin'!$D$13</definedName>
    <definedName name="ActYear_m6Y">'Period Admin'!$D$14</definedName>
    <definedName name="ActYear_m7Y">'Period Admin'!$D$15</definedName>
    <definedName name="ActYear_m8Y">'Period Admin'!$D$16</definedName>
    <definedName name="ActYear_m9Y">'Period Admin'!$D$17</definedName>
    <definedName name="ActYearMonth">'Period Admin'!$J$16</definedName>
    <definedName name="AdmPeriod">'Period Admin'!$K$10:$N$10</definedName>
    <definedName name="AR_ActQ_Year">'Period Admin'!$U$11</definedName>
    <definedName name="asas">'Content'!$C$1</definedName>
    <definedName name="company" localSheetId="25">#REF!</definedName>
    <definedName name="Company">'Content'!$C$1</definedName>
    <definedName name="EV__LASTREFTIME__" hidden="1">41869.341099537</definedName>
    <definedName name="FTE_2015">'[1]FTE 2015'!$A$6:$B$62</definedName>
    <definedName name="FTE_2016">'[2]FTE 2016 (&amp;2015)'!$A$76:$B$135</definedName>
    <definedName name="FullYear">'Period Admin'!$F$25</definedName>
    <definedName name="FullYearBrDate">'Period Admin'!$F$27</definedName>
    <definedName name="FullYearBrDate_1Y">'Period Admin'!$F$30</definedName>
    <definedName name="FullYearBrDate_2Y">'Period Admin'!$F$31</definedName>
    <definedName name="FullYearBrDate_3Y">'Period Admin'!$F$32</definedName>
    <definedName name="FullYearBrDay">'Period Admin'!$F$26</definedName>
    <definedName name="FullYearT">'Period Admin'!$F$34</definedName>
    <definedName name="LinkValues1">#REF!</definedName>
    <definedName name="LinkValues10">#REF!</definedName>
    <definedName name="LinkValues11">#REF!</definedName>
    <definedName name="LinkValues12">#REF!</definedName>
    <definedName name="LinkValues13">#REF!</definedName>
    <definedName name="LinkValues14">#REF!</definedName>
    <definedName name="LinkValues2">#REF!</definedName>
    <definedName name="LinkValues3">#REF!</definedName>
    <definedName name="LinkValues4">#REF!</definedName>
    <definedName name="LinkValues5">#REF!</definedName>
    <definedName name="LinkValues6">#REF!</definedName>
    <definedName name="LinkValues7">#REF!</definedName>
    <definedName name="LinkValues8">#REF!</definedName>
    <definedName name="LinkValues9">#REF!</definedName>
    <definedName name="m1Q_AckPer">'Period Admin'!$J$40</definedName>
    <definedName name="m1Q_Mon">'Period Admin'!$J$31</definedName>
    <definedName name="m1Q_Per">'Period Admin'!$J$39</definedName>
    <definedName name="m1Q_PerY">'Period Admin'!$J$38</definedName>
    <definedName name="m1Q_PerYear">'Period Admin'!$J$37</definedName>
    <definedName name="m1Q_Q">'Period Admin'!$J$26</definedName>
    <definedName name="m1Q_Q_Y">'Period Admin'!$J$28</definedName>
    <definedName name="m1Q_Q_Year">'Period Admin'!$J$27</definedName>
    <definedName name="m1Q_QBrDate">'Period Admin'!$J$34</definedName>
    <definedName name="m1Q_QBrDateY">'Period Admin'!$J$36</definedName>
    <definedName name="m1Q_QBrDateYear">'Period Admin'!$J$35</definedName>
    <definedName name="m1Q_QBrMDay">'Period Admin'!$J$33</definedName>
    <definedName name="m1Q_Qn">'Period Admin'!$J$25</definedName>
    <definedName name="m1Q_Qn_Y">'Period Admin'!$J$30</definedName>
    <definedName name="m1Q_Qn_Year">'Period Admin'!$J$29</definedName>
    <definedName name="m1Q_YearMonth">'Period Admin'!$J$32</definedName>
    <definedName name="m1Y_ActAckPer">'Period Admin'!$J$185</definedName>
    <definedName name="m1Y_ActMon">'Period Admin'!$J$176</definedName>
    <definedName name="m1Y_ActPer">'Period Admin'!$J$184</definedName>
    <definedName name="m1Y_ActPerY">'Period Admin'!$J$183</definedName>
    <definedName name="m1Y_ActPerYear">'Period Admin'!$J$182</definedName>
    <definedName name="m1Y_ActQ">'Period Admin'!$J$171</definedName>
    <definedName name="m1Y_ActQ_Y">'Period Admin'!$J$173</definedName>
    <definedName name="m1Y_ActQ_Year">'Period Admin'!$J$172</definedName>
    <definedName name="m1Y_ActQBrDate">'Period Admin'!$J$179</definedName>
    <definedName name="m1Y_ActQBrDateY">'Period Admin'!$J$181</definedName>
    <definedName name="m1Y_ActQBrDateYear">'Period Admin'!$J$180</definedName>
    <definedName name="m1Y_ActQBrMDay">'Period Admin'!$J$178</definedName>
    <definedName name="m1Y_ActQn">'Period Admin'!$J$170</definedName>
    <definedName name="m1Y_ActQn_Y">'Period Admin'!$J$175</definedName>
    <definedName name="m1Y_ActQn_Year">'Period Admin'!$J$174</definedName>
    <definedName name="m1Y_ActYearMonth">'Period Admin'!$J$177</definedName>
    <definedName name="m2Q_AckPer">'Period Admin'!$J$56</definedName>
    <definedName name="m2Q_Mon">'Period Admin'!$J$47</definedName>
    <definedName name="m2Q_Per">'Period Admin'!$J$55</definedName>
    <definedName name="m2Q_PerY">'Period Admin'!$J$54</definedName>
    <definedName name="m2Q_PerYear">'Period Admin'!$J$53</definedName>
    <definedName name="m2Q_Q">'Period Admin'!$J$42</definedName>
    <definedName name="m2Q_Q_Y">'Period Admin'!$J$44</definedName>
    <definedName name="m2Q_Q_Year">'Period Admin'!$J$43</definedName>
    <definedName name="m2Q_QBrDate">'Period Admin'!$J$50</definedName>
    <definedName name="m2Q_QBrDateY">'Period Admin'!$J$52</definedName>
    <definedName name="m2Q_QBrDateYear">'Period Admin'!$J$51</definedName>
    <definedName name="m2Q_QBrMDay">'Period Admin'!$J$49</definedName>
    <definedName name="m2Q_Qn">'Period Admin'!$J$41</definedName>
    <definedName name="m2Q_Qn_Y">'Period Admin'!$J$46</definedName>
    <definedName name="m2Q_Qn_Year">'Period Admin'!$J$45</definedName>
    <definedName name="m2Q_YearMonth">'Period Admin'!$J$48</definedName>
    <definedName name="m3Q_AckPer">'Period Admin'!$J$72</definedName>
    <definedName name="m3Q_Mon">'Period Admin'!$J$63</definedName>
    <definedName name="m3Q_Per">'Period Admin'!$J$71</definedName>
    <definedName name="m3Q_PerY">'Period Admin'!$J$70</definedName>
    <definedName name="m3Q_PerYear">'Period Admin'!$J$69</definedName>
    <definedName name="m3Q_Q">'Period Admin'!$J$58</definedName>
    <definedName name="m3Q_Q_Y">'Period Admin'!$J$60</definedName>
    <definedName name="m3Q_Q_Year">'Period Admin'!$J$59</definedName>
    <definedName name="m3Q_QBrDate">'Period Admin'!$J$66</definedName>
    <definedName name="m3Q_QBrDateY">'Period Admin'!$J$68</definedName>
    <definedName name="m3Q_QBrDateYear">'Period Admin'!$J$67</definedName>
    <definedName name="m3Q_QBrMDay">'Period Admin'!$J$65</definedName>
    <definedName name="m3Q_Qn">'Period Admin'!$J$57</definedName>
    <definedName name="m3Q_Qn_Y">'Period Admin'!$J$62</definedName>
    <definedName name="m3Q_Qn_Year">'Period Admin'!$J$61</definedName>
    <definedName name="m3Q_YearMonth">'Period Admin'!$J$64</definedName>
    <definedName name="m4Q_AckPer">'Period Admin'!$J$88</definedName>
    <definedName name="m4Q_Mon">'Period Admin'!$J$79</definedName>
    <definedName name="m4Q_Per">'Period Admin'!$J$87</definedName>
    <definedName name="m4Q_PerY">'Period Admin'!$J$86</definedName>
    <definedName name="m4Q_PerYear">'Period Admin'!$J$85</definedName>
    <definedName name="m4Q_Q">'Period Admin'!$J$74</definedName>
    <definedName name="m4Q_Q_Y">'Period Admin'!$J$76</definedName>
    <definedName name="m4Q_Q_Year">'Period Admin'!$J$75</definedName>
    <definedName name="m4Q_QBrDate">'Period Admin'!$J$82</definedName>
    <definedName name="m4Q_QBrDateY">'Period Admin'!$J$84</definedName>
    <definedName name="m4Q_QBrDateYear">'Period Admin'!$J$83</definedName>
    <definedName name="m4Q_QBrMDay">'Period Admin'!$J$81</definedName>
    <definedName name="m4Q_Qn">'Period Admin'!$J$73</definedName>
    <definedName name="m4Q_Qn_Y">'Period Admin'!$J$78</definedName>
    <definedName name="m4Q_Qn_Year">'Period Admin'!$J$77</definedName>
    <definedName name="m4Q_YearMonth">'Period Admin'!$J$80</definedName>
    <definedName name="m5Q_AckPer">'Period Admin'!$J$104</definedName>
    <definedName name="m5Q_Mon">'Period Admin'!$J$95</definedName>
    <definedName name="m5Q_Per">'Period Admin'!$J$103</definedName>
    <definedName name="m5Q_PerY">'Period Admin'!$J$102</definedName>
    <definedName name="m5Q_PerYear">'Period Admin'!$J$101</definedName>
    <definedName name="m5Q_Q">'Period Admin'!$J$90</definedName>
    <definedName name="m5Q_Q_Y">'Period Admin'!$J$92</definedName>
    <definedName name="m5Q_Q_Year">'Period Admin'!$J$91</definedName>
    <definedName name="m5Q_QBrDate">'Period Admin'!$J$98</definedName>
    <definedName name="m5Q_QBrDateY">'Period Admin'!$J$100</definedName>
    <definedName name="m5Q_QBrDateYear">'Period Admin'!$J$99</definedName>
    <definedName name="m5Q_QBrMDay">'Period Admin'!$J$97</definedName>
    <definedName name="m5Q_Qn">'Period Admin'!$J$89</definedName>
    <definedName name="m5Q_Qn_Y">'Period Admin'!$J$94</definedName>
    <definedName name="m5Q_Qn_Year">'Period Admin'!$J$93</definedName>
    <definedName name="m5Q_YearMonth">'Period Admin'!$J$96</definedName>
    <definedName name="m6Q_AckPer">'Period Admin'!$J$120</definedName>
    <definedName name="m6Q_Mon">'Period Admin'!$J$111</definedName>
    <definedName name="m6Q_Per">'Period Admin'!$J$119</definedName>
    <definedName name="m6Q_PerY">'Period Admin'!$J$118</definedName>
    <definedName name="m6Q_PerYear">'Period Admin'!$J$117</definedName>
    <definedName name="m6Q_Q">'Period Admin'!$J$106</definedName>
    <definedName name="m6Q_Q_Y">'Period Admin'!$J$108</definedName>
    <definedName name="m6Q_Q_Year">'Period Admin'!$J$107</definedName>
    <definedName name="m6Q_QBrDate">'Period Admin'!$J$114</definedName>
    <definedName name="m6Q_QBrDateY">'Period Admin'!$J$116</definedName>
    <definedName name="m6Q_QBrDateYear">'Period Admin'!$J$115</definedName>
    <definedName name="m6Q_QBrMDay">'Period Admin'!$J$113</definedName>
    <definedName name="m6Q_Qn">'Period Admin'!$J$105</definedName>
    <definedName name="m6Q_Qn_Y">'Period Admin'!$J$110</definedName>
    <definedName name="m6Q_Qn_Year">'Period Admin'!$J$109</definedName>
    <definedName name="m6Q_YearMonth">'Period Admin'!$J$112</definedName>
    <definedName name="m7Q_AckPer">'Period Admin'!$J$136</definedName>
    <definedName name="m7Q_Mon">'Period Admin'!$J$127</definedName>
    <definedName name="m7Q_Per">'Period Admin'!$J$135</definedName>
    <definedName name="m7Q_PerY">'Period Admin'!$J$134</definedName>
    <definedName name="m7Q_PerYear">'Period Admin'!$J$133</definedName>
    <definedName name="m7Q_Q">'Period Admin'!$J$122</definedName>
    <definedName name="m7Q_Q_Y">'Period Admin'!$J$124</definedName>
    <definedName name="m7Q_Q_Year">'Period Admin'!$J$123</definedName>
    <definedName name="m7Q_QBrDate">'Period Admin'!$J$130</definedName>
    <definedName name="m7Q_QBrDateY">'Period Admin'!$J$132</definedName>
    <definedName name="m7Q_QBrDateYear">'Period Admin'!$J$131</definedName>
    <definedName name="m7Q_QBrMDay">'Period Admin'!$J$129</definedName>
    <definedName name="m7Q_Qn">'Period Admin'!$J$121</definedName>
    <definedName name="m7Q_Qn_Y">'Period Admin'!$J$126</definedName>
    <definedName name="m7Q_Qn_Year">'Period Admin'!$J$125</definedName>
    <definedName name="m7Q_YearMonth">'Period Admin'!$J$128</definedName>
    <definedName name="m8Q_AckPer">'Period Admin'!$J$152</definedName>
    <definedName name="m8Q_Mon">'Period Admin'!$J$143</definedName>
    <definedName name="m8Q_Per">'Period Admin'!$J$151</definedName>
    <definedName name="m8Q_PerY">'Period Admin'!$J$150</definedName>
    <definedName name="m8Q_PerYear">'Period Admin'!$J$149</definedName>
    <definedName name="m8Q_Q">'Period Admin'!$J$138</definedName>
    <definedName name="m8Q_Q_Y">'Period Admin'!$J$140</definedName>
    <definedName name="m8Q_Q_Year">'Period Admin'!$J$139</definedName>
    <definedName name="m8Q_QBrDate">'Period Admin'!$J$146</definedName>
    <definedName name="m8Q_QBrDateY">'Period Admin'!$J$148</definedName>
    <definedName name="m8Q_QBrDateYear">'Period Admin'!$J$147</definedName>
    <definedName name="m8Q_QBrMDay">'Period Admin'!$J$145</definedName>
    <definedName name="m8Q_Qn">'Period Admin'!$J$137</definedName>
    <definedName name="m8Q_Qn_Y">'Period Admin'!$J$142</definedName>
    <definedName name="m8Q_Qn_Year">'Period Admin'!$J$141</definedName>
    <definedName name="m8Q_YearMonth">'Period Admin'!$J$144</definedName>
    <definedName name="m9Q_AckPer">'Period Admin'!$J$168</definedName>
    <definedName name="m9Q_Mon">'Period Admin'!$J$159</definedName>
    <definedName name="m9Q_Per">'Period Admin'!$J$167</definedName>
    <definedName name="m9Q_PerY">'Period Admin'!$J$166</definedName>
    <definedName name="m9Q_PerYear">'Period Admin'!$J$165</definedName>
    <definedName name="m9Q_Q">'Period Admin'!$J$154</definedName>
    <definedName name="m9Q_Q_Y">'Period Admin'!$J$156</definedName>
    <definedName name="m9Q_Q_Year">'Period Admin'!$J$155</definedName>
    <definedName name="m9Q_QBrDate">'Period Admin'!$J$162</definedName>
    <definedName name="m9Q_QBrDateY">'Period Admin'!$J$164</definedName>
    <definedName name="m9Q_QBrDateYear">'Period Admin'!$J$163</definedName>
    <definedName name="m9Q_QBrMDay">'Period Admin'!$J$161</definedName>
    <definedName name="m9Q_Qn">'Period Admin'!$J$153</definedName>
    <definedName name="m9Q_Qn_Y">'Period Admin'!$J$158</definedName>
    <definedName name="m9Q_Qn_Year">'Period Admin'!$J$157</definedName>
    <definedName name="m9Q_YearMonth">'Period Admin'!$J$160</definedName>
    <definedName name="_xlnm.Print_Area" localSheetId="9">'Business_Area_APMEA-Q'!$C$1:$N$14</definedName>
    <definedName name="_xlnm.Print_Area" localSheetId="19">'Business_Area_APMEA-Y'!$A$1:$I$19</definedName>
    <definedName name="_xlnm.Print_Area" localSheetId="7">'Business_Area_Europe-Q'!$C$1:$N$17</definedName>
    <definedName name="_xlnm.Print_Area" localSheetId="16">'Business_Area_Europe-Y'!$A$1:$I$19</definedName>
    <definedName name="_xlnm.Print_Area" localSheetId="6">'Business_Area_LA-Q'!$E$1:$N$15</definedName>
    <definedName name="_xlnm.Print_Area" localSheetId="18">'Business_Area_LA-Y'!$A$1:$I$19</definedName>
    <definedName name="_xlnm.Print_Area" localSheetId="8">'Business_Area_NA-Q'!$E$1:$N$15</definedName>
    <definedName name="_xlnm.Print_Area" localSheetId="17">'Business_Area_NA-Y'!$A$1:$I$19</definedName>
    <definedName name="_xlnm.Print_Area" localSheetId="5">'Cash_flow-Q'!$E$1:$R$19</definedName>
    <definedName name="_xlnm.Print_Area" localSheetId="3">'Change_in_net_sales-Q'!$E$1:$R$18</definedName>
    <definedName name="_xlnm.Print_Area" localSheetId="13">'Change_in_net_sales-Y'!$A$3:$K$11</definedName>
    <definedName name="_xlnm.Print_Area" localSheetId="22">'Employees_by_country-Y'!$E$1:$E$90</definedName>
    <definedName name="_xlnm.Print_Area" localSheetId="4">'Financial_Position-Q'!$E$1:$R$22</definedName>
    <definedName name="_xlnm.Print_Area" localSheetId="11">'Key_ratios-Q'!$E$1:$R$19</definedName>
    <definedName name="_xlnm.Print_Area" localSheetId="25">'Net_debt-Y'!$A$1:$G$14</definedName>
    <definedName name="_xlnm.Print_Area" localSheetId="2">'Net_sales_and_income-Q'!$E$3:$R$19</definedName>
    <definedName name="_xlnm.Print_Area" localSheetId="12">'Net_sales_and_income-Y'!$A$1:$M$23</definedName>
    <definedName name="_xlnm.Print_Area" localSheetId="21">'Net_sales_by_country-Y'!$E$4:$E$100</definedName>
    <definedName name="_xlnm.Print_Area" localSheetId="10">'Professional_Products-Q'!$E$1:$M$14</definedName>
    <definedName name="_xlnm.Print_Area" localSheetId="20">'Professional_Products-Y'!$A$1:$E$18</definedName>
    <definedName name="_xlnm.Print_Area" localSheetId="26">'Rating-Y'!$E$4:$G$11</definedName>
    <definedName name="_xlnm.Print_Titles" localSheetId="22">'Employees_by_country-Y'!$3:$7</definedName>
    <definedName name="_xlnm.Print_Titles" localSheetId="21">'Net_sales_by_country-Y'!$3:$7</definedName>
    <definedName name="PubValues1">#REF!</definedName>
    <definedName name="PubValues10">#REF!</definedName>
    <definedName name="PubValues11">#REF!</definedName>
    <definedName name="PubValues12">#REF!</definedName>
    <definedName name="PubValues13">#REF!</definedName>
    <definedName name="PubValues14">#REF!</definedName>
    <definedName name="PubValues2">#REF!</definedName>
    <definedName name="PubValues3">#REF!</definedName>
    <definedName name="PubValues4">#REF!</definedName>
    <definedName name="PubValues5">#REF!</definedName>
    <definedName name="PubValues6">#REF!</definedName>
    <definedName name="PubValues7">#REF!</definedName>
    <definedName name="PubValues8">#REF!</definedName>
    <definedName name="PubValues9">#REF!</definedName>
    <definedName name="Q_No">'Period Admin'!$L$2</definedName>
    <definedName name="QuarterT">'Period Admin'!$F$35</definedName>
    <definedName name="SelectIdx">'Period Admin'!$L$3</definedName>
    <definedName name="SelLng">#REF!</definedName>
    <definedName name="SelLngNo">#REF!</definedName>
    <definedName name="SelQ">#REF!</definedName>
    <definedName name="SelYear">#REF!</definedName>
  </definedNames>
  <calcPr fullCalcOnLoad="1"/>
</workbook>
</file>

<file path=xl/sharedStrings.xml><?xml version="1.0" encoding="utf-8"?>
<sst xmlns="http://schemas.openxmlformats.org/spreadsheetml/2006/main" count="2818" uniqueCount="659">
  <si>
    <t>Income for the period</t>
  </si>
  <si>
    <t>Total</t>
  </si>
  <si>
    <t>-</t>
  </si>
  <si>
    <t>Amounts in SEKm unless otherwise indicated</t>
  </si>
  <si>
    <t>Quarter</t>
  </si>
  <si>
    <t>Year-to-date</t>
  </si>
  <si>
    <t>Headinglong</t>
  </si>
  <si>
    <t>Heading2</t>
  </si>
  <si>
    <t>Plain</t>
  </si>
  <si>
    <t>Subtotal</t>
  </si>
  <si>
    <t>Break</t>
  </si>
  <si>
    <t>y</t>
  </si>
  <si>
    <t>Inventories</t>
  </si>
  <si>
    <t>Trade receivables</t>
  </si>
  <si>
    <t>Total assets</t>
  </si>
  <si>
    <t>Accounts payable</t>
  </si>
  <si>
    <t>Note</t>
  </si>
  <si>
    <t>Cash flow from operations</t>
  </si>
  <si>
    <t>Other</t>
  </si>
  <si>
    <t>Cash flow from investments</t>
  </si>
  <si>
    <t>Cash flow from operations and investments</t>
  </si>
  <si>
    <t>Average number of employees</t>
  </si>
  <si>
    <t>Key ratios</t>
  </si>
  <si>
    <t>Interest-bearing liabilities</t>
  </si>
  <si>
    <t>Equity</t>
  </si>
  <si>
    <t>Sales growth</t>
  </si>
  <si>
    <t>Nav_groups</t>
  </si>
  <si>
    <t>Contents</t>
  </si>
  <si>
    <t>finstat</t>
  </si>
  <si>
    <t>Graph_attr</t>
  </si>
  <si>
    <t>Graph_unit</t>
  </si>
  <si>
    <t>sv</t>
  </si>
  <si>
    <t>en</t>
  </si>
  <si>
    <t>h</t>
  </si>
  <si>
    <t>x</t>
  </si>
  <si>
    <t>u</t>
  </si>
  <si>
    <t>WESTERN EUROPE</t>
  </si>
  <si>
    <t>Italy</t>
  </si>
  <si>
    <t>Sweden</t>
  </si>
  <si>
    <t>Germany</t>
  </si>
  <si>
    <t>Spain</t>
  </si>
  <si>
    <t>France</t>
  </si>
  <si>
    <t>UK</t>
  </si>
  <si>
    <t>Denmark</t>
  </si>
  <si>
    <t>Switzerland</t>
  </si>
  <si>
    <t>Belgium</t>
  </si>
  <si>
    <t>Austria</t>
  </si>
  <si>
    <t>The Netherlands</t>
  </si>
  <si>
    <t>Finland</t>
  </si>
  <si>
    <t>Greece</t>
  </si>
  <si>
    <t>Norway</t>
  </si>
  <si>
    <t>Ireland</t>
  </si>
  <si>
    <t>Portugal</t>
  </si>
  <si>
    <t>Luxembourg</t>
  </si>
  <si>
    <t>Total Western Europe</t>
  </si>
  <si>
    <t>EASTERN EUROPE</t>
  </si>
  <si>
    <t>Hungary</t>
  </si>
  <si>
    <t>Romania</t>
  </si>
  <si>
    <t>Poland</t>
  </si>
  <si>
    <t>Czech Republic</t>
  </si>
  <si>
    <t>Russia</t>
  </si>
  <si>
    <t>Baltic nations</t>
  </si>
  <si>
    <t>Turkey</t>
  </si>
  <si>
    <t>Slovakia</t>
  </si>
  <si>
    <t>Bulgaria</t>
  </si>
  <si>
    <t>Ukraine</t>
  </si>
  <si>
    <t>Total Eastern Europe</t>
  </si>
  <si>
    <t>Total EUROPE</t>
  </si>
  <si>
    <t>NORTH AMERICA</t>
  </si>
  <si>
    <t>USA</t>
  </si>
  <si>
    <t>Canada</t>
  </si>
  <si>
    <t>Total North America</t>
  </si>
  <si>
    <t>LATIN AMERICA</t>
  </si>
  <si>
    <t>Brazil</t>
  </si>
  <si>
    <t>Mexico</t>
  </si>
  <si>
    <t>Colombia</t>
  </si>
  <si>
    <t>Ecuador</t>
  </si>
  <si>
    <t>Argentina</t>
  </si>
  <si>
    <t>Peru</t>
  </si>
  <si>
    <t>Venezuela</t>
  </si>
  <si>
    <t>Paraguay</t>
  </si>
  <si>
    <t>Chile</t>
  </si>
  <si>
    <t>Uruguay</t>
  </si>
  <si>
    <t>Total Latin America</t>
  </si>
  <si>
    <t>ASIA</t>
  </si>
  <si>
    <t>Far East</t>
  </si>
  <si>
    <t>China</t>
  </si>
  <si>
    <t>India</t>
  </si>
  <si>
    <t>Indonesia</t>
  </si>
  <si>
    <t>Thailand</t>
  </si>
  <si>
    <t>Japan</t>
  </si>
  <si>
    <t>Malaysia</t>
  </si>
  <si>
    <t>Singapore</t>
  </si>
  <si>
    <t>Vietnam</t>
  </si>
  <si>
    <t>Philippines</t>
  </si>
  <si>
    <t>Hong Kong</t>
  </si>
  <si>
    <t>South Korea</t>
  </si>
  <si>
    <t>Taiwan</t>
  </si>
  <si>
    <t>Total Far East</t>
  </si>
  <si>
    <t>Middle East</t>
  </si>
  <si>
    <t>Total Middle East</t>
  </si>
  <si>
    <t>Total ASIA</t>
  </si>
  <si>
    <t>AFRICA</t>
  </si>
  <si>
    <t>South Africa</t>
  </si>
  <si>
    <t>Total Africa</t>
  </si>
  <si>
    <t>OCEANIA</t>
  </si>
  <si>
    <t>Australia</t>
  </si>
  <si>
    <t>New Zealand</t>
  </si>
  <si>
    <t>Total Oceania</t>
  </si>
  <si>
    <t>GROUP TOTAL</t>
  </si>
  <si>
    <t>Net sales by country (Y)</t>
  </si>
  <si>
    <t>Iceland</t>
  </si>
  <si>
    <t>Egypt</t>
  </si>
  <si>
    <t>Morocco</t>
  </si>
  <si>
    <t>1) Sales by country receiving products.</t>
  </si>
  <si>
    <t>Net sales and income</t>
  </si>
  <si>
    <t xml:space="preserve">Net sales </t>
  </si>
  <si>
    <t xml:space="preserve">Depreciation and amortization </t>
  </si>
  <si>
    <t xml:space="preserve">Operating income </t>
  </si>
  <si>
    <t xml:space="preserve">Income after financial items </t>
  </si>
  <si>
    <t>Cash flow from operations excluding change in operating assets and liabilities</t>
  </si>
  <si>
    <t>Changes in operating assets and liabilities</t>
  </si>
  <si>
    <t>Dividends and redemption and repurchase of shares</t>
  </si>
  <si>
    <t xml:space="preserve">Net assets </t>
  </si>
  <si>
    <t>Working capital</t>
  </si>
  <si>
    <r>
      <t>Income for the period</t>
    </r>
    <r>
      <rPr>
        <vertAlign val="superscript"/>
        <sz val="10"/>
        <rFont val="Arial"/>
        <family val="2"/>
      </rPr>
      <t xml:space="preserve">         </t>
    </r>
  </si>
  <si>
    <t>Net debt/equity</t>
  </si>
  <si>
    <t>Long-term debt</t>
  </si>
  <si>
    <t>Outlook</t>
  </si>
  <si>
    <t>Short-term debt</t>
  </si>
  <si>
    <t>Rating</t>
  </si>
  <si>
    <t>Standard &amp; Poor's</t>
  </si>
  <si>
    <t>Short-term debt, Nordic</t>
  </si>
  <si>
    <t>BBB</t>
  </si>
  <si>
    <t>Stable</t>
  </si>
  <si>
    <t>A-2</t>
  </si>
  <si>
    <t>K-2</t>
  </si>
  <si>
    <t>BBB+</t>
  </si>
  <si>
    <t>Year</t>
  </si>
  <si>
    <t>SEKm</t>
  </si>
  <si>
    <t>AB Electrolux</t>
  </si>
  <si>
    <t>Financial information</t>
  </si>
  <si>
    <t>Quarterly data</t>
  </si>
  <si>
    <t>Cash flow (Q)</t>
  </si>
  <si>
    <t>Key ratios (Q)</t>
  </si>
  <si>
    <t>Yearly data</t>
  </si>
  <si>
    <t>Cash flow (Y)</t>
  </si>
  <si>
    <t>Employees by country (Y)</t>
  </si>
  <si>
    <t>Debt information</t>
  </si>
  <si>
    <t>Capital expenditure</t>
  </si>
  <si>
    <t>Change in net sales (Q)</t>
  </si>
  <si>
    <t>Change in net sales (Y)</t>
  </si>
  <si>
    <t>Key ratios (Y)</t>
  </si>
  <si>
    <t>Professional Products (Y)</t>
  </si>
  <si>
    <t>Change in net sales</t>
  </si>
  <si>
    <t>K-1</t>
  </si>
  <si>
    <t>Group total</t>
  </si>
  <si>
    <t>Repayment schedule long term borrowings</t>
  </si>
  <si>
    <t>Data as of year</t>
  </si>
  <si>
    <t>Net debt</t>
  </si>
  <si>
    <t>Financial net debt</t>
  </si>
  <si>
    <t>Provisions for post-employment benefits, net</t>
  </si>
  <si>
    <t xml:space="preserve">Dividend </t>
  </si>
  <si>
    <t>Amounts in SEKm unless otherwise stated</t>
  </si>
  <si>
    <t>Debenture and bond loans</t>
  </si>
  <si>
    <t>Bank and other loans</t>
  </si>
  <si>
    <t>Short-term part of long-term loans</t>
  </si>
  <si>
    <t>Net debt (Y)</t>
  </si>
  <si>
    <t>%</t>
  </si>
  <si>
    <t>Operating margin</t>
  </si>
  <si>
    <t>SEK</t>
  </si>
  <si>
    <t>Amounts in</t>
  </si>
  <si>
    <t>Organic growth</t>
  </si>
  <si>
    <t>Acquisitions and divestments</t>
  </si>
  <si>
    <t>Changes in exchange rates</t>
  </si>
  <si>
    <t>Total change in net sales</t>
  </si>
  <si>
    <t>Return on net assets</t>
  </si>
  <si>
    <t>Heading3</t>
  </si>
  <si>
    <t>Yearly</t>
  </si>
  <si>
    <t>Repayment schedule of long-term borrowings</t>
  </si>
  <si>
    <t>ratio</t>
  </si>
  <si>
    <t>number</t>
  </si>
  <si>
    <t>Organic growth, %</t>
  </si>
  <si>
    <t>Operating margin,%</t>
  </si>
  <si>
    <t>A-</t>
  </si>
  <si>
    <t>2017 Q1</t>
  </si>
  <si>
    <t>2017 Q2</t>
  </si>
  <si>
    <t>2017 Q3</t>
  </si>
  <si>
    <t>2017 Q4</t>
  </si>
  <si>
    <t>2018 Q1</t>
  </si>
  <si>
    <t>2018 Q2</t>
  </si>
  <si>
    <t>2018 Q3</t>
  </si>
  <si>
    <t>2018 Q4</t>
  </si>
  <si>
    <t>Sales growth, %</t>
  </si>
  <si>
    <r>
      <t>Non-recurring items</t>
    </r>
    <r>
      <rPr>
        <vertAlign val="superscript"/>
        <sz val="10"/>
        <rFont val="Arial"/>
        <family val="2"/>
      </rPr>
      <t>1)</t>
    </r>
  </si>
  <si>
    <t>Operating income excl. non-recurring items</t>
  </si>
  <si>
    <t>Operating margin excl. non-recurring items,%</t>
  </si>
  <si>
    <r>
      <t>2017</t>
    </r>
    <r>
      <rPr>
        <b/>
        <vertAlign val="superscript"/>
        <sz val="10"/>
        <rFont val="Arial"/>
        <family val="2"/>
      </rPr>
      <t>2)</t>
    </r>
  </si>
  <si>
    <t>2) Amounts for 2017 have been restated where applicable as a consequence of the introduction of IFRS 15 Revenue from Contracts with Customers.</t>
  </si>
  <si>
    <t xml:space="preserve">Business area Europe </t>
  </si>
  <si>
    <t>Business Area North America</t>
  </si>
  <si>
    <t>Business Area Latin America</t>
  </si>
  <si>
    <t>Business Area Asia Pacific, Middle East and Africa</t>
  </si>
  <si>
    <t>Amounts in % unless otherwise stated</t>
  </si>
  <si>
    <t>Capital turnover, times</t>
  </si>
  <si>
    <r>
      <t>2017</t>
    </r>
    <r>
      <rPr>
        <b/>
        <vertAlign val="superscript"/>
        <sz val="10"/>
        <rFont val="Arial"/>
        <family val="2"/>
      </rPr>
      <t>1)</t>
    </r>
  </si>
  <si>
    <r>
      <t>Operating margin excl. non-recurring items</t>
    </r>
    <r>
      <rPr>
        <vertAlign val="superscript"/>
        <sz val="10"/>
        <rFont val="Geneva"/>
        <family val="0"/>
      </rPr>
      <t xml:space="preserve"> 2)</t>
    </r>
  </si>
  <si>
    <t>1) Amounts for 2017 have been restated where applicable as a consequence of the introduction of IFRS 15 Revenue from Contracts with Customers.</t>
  </si>
  <si>
    <t>3) Net sales are annualized.</t>
  </si>
  <si>
    <t>1) For more information, please see interim reports and Annual Report (note 7).</t>
  </si>
  <si>
    <t>2) For more information, please see interim reports and Annual Report (note 7).</t>
  </si>
  <si>
    <r>
      <t xml:space="preserve">Operating income excl. non-recurring items </t>
    </r>
    <r>
      <rPr>
        <vertAlign val="superscript"/>
        <sz val="10"/>
        <rFont val="Arial"/>
        <family val="2"/>
      </rPr>
      <t>2)</t>
    </r>
  </si>
  <si>
    <t>as of December 31</t>
  </si>
  <si>
    <t>2014</t>
  </si>
  <si>
    <t>2015</t>
  </si>
  <si>
    <t>2016</t>
  </si>
  <si>
    <t>2017</t>
  </si>
  <si>
    <t>2018</t>
  </si>
  <si>
    <t>Total borrowings</t>
  </si>
  <si>
    <t>Liquid funds</t>
  </si>
  <si>
    <t>subtotal</t>
  </si>
  <si>
    <t>Net provision for post-employment benefits</t>
  </si>
  <si>
    <r>
      <t xml:space="preserve">Operating income excl. non-recurring items </t>
    </r>
    <r>
      <rPr>
        <vertAlign val="superscript"/>
        <sz val="10"/>
        <rFont val="Arial"/>
        <family val="2"/>
      </rPr>
      <t>1)</t>
    </r>
  </si>
  <si>
    <r>
      <t>Operating margin excl. non-recurring items</t>
    </r>
    <r>
      <rPr>
        <vertAlign val="superscript"/>
        <sz val="10"/>
        <rFont val="Geneva"/>
        <family val="0"/>
      </rPr>
      <t xml:space="preserve"> 1)</t>
    </r>
  </si>
  <si>
    <t>Quarterly</t>
  </si>
  <si>
    <t xml:space="preserve">   of which capital expenditures in property, plant and equipment</t>
  </si>
  <si>
    <t>Capital expenditures in property, plant and equipment as % of net sales</t>
  </si>
  <si>
    <t>SWE</t>
  </si>
  <si>
    <t>ENG</t>
  </si>
  <si>
    <t xml:space="preserve"> </t>
  </si>
  <si>
    <t>2019 Q1</t>
  </si>
  <si>
    <t>Q_No</t>
  </si>
  <si>
    <t>SelectIdx</t>
  </si>
  <si>
    <t>Namn</t>
  </si>
  <si>
    <t>Rubrik till vald period</t>
  </si>
  <si>
    <t>Divider</t>
  </si>
  <si>
    <t>Name</t>
  </si>
  <si>
    <t>Y</t>
  </si>
  <si>
    <t>ActPer_nMonth</t>
  </si>
  <si>
    <t>Tre månader</t>
  </si>
  <si>
    <t>Sex månader</t>
  </si>
  <si>
    <t>Nio månader</t>
  </si>
  <si>
    <t>Helår</t>
  </si>
  <si>
    <t>Three months</t>
  </si>
  <si>
    <t>Six months</t>
  </si>
  <si>
    <t>Nine months</t>
  </si>
  <si>
    <t>Full-year</t>
  </si>
  <si>
    <t>ActYear</t>
  </si>
  <si>
    <t>ActY</t>
  </si>
  <si>
    <t>ActPer_noMonth</t>
  </si>
  <si>
    <t>3 månader</t>
  </si>
  <si>
    <t>6 månader</t>
  </si>
  <si>
    <t>9 månader</t>
  </si>
  <si>
    <t>12 månader</t>
  </si>
  <si>
    <t>3 months</t>
  </si>
  <si>
    <t>6 months</t>
  </si>
  <si>
    <t>9 months</t>
  </si>
  <si>
    <t>12 months</t>
  </si>
  <si>
    <t>ActYear_m1Y</t>
  </si>
  <si>
    <t>ActY_m1Y</t>
  </si>
  <si>
    <t>Perioden</t>
  </si>
  <si>
    <t>ActQn</t>
  </si>
  <si>
    <t>ActYear_m2Y</t>
  </si>
  <si>
    <t>ActY_m2Y</t>
  </si>
  <si>
    <t>ActQ</t>
  </si>
  <si>
    <t>ActYear_m3Y</t>
  </si>
  <si>
    <t>ActY_m3Y</t>
  </si>
  <si>
    <t>ActQ_Year</t>
  </si>
  <si>
    <t>ActYear_m4Y</t>
  </si>
  <si>
    <t>ActY_m4Y</t>
  </si>
  <si>
    <t>ActQ_Y</t>
  </si>
  <si>
    <t>ActYear_m5Y</t>
  </si>
  <si>
    <t>ActY_m5Y</t>
  </si>
  <si>
    <t>ActQn_Year</t>
  </si>
  <si>
    <t>ActYear_m6Y</t>
  </si>
  <si>
    <t>ActY_m6Y</t>
  </si>
  <si>
    <t>ActQn_Y</t>
  </si>
  <si>
    <t>ActYear_m7Y</t>
  </si>
  <si>
    <t>ActY_m7Y</t>
  </si>
  <si>
    <t>ActMon</t>
  </si>
  <si>
    <t>03</t>
  </si>
  <si>
    <t>06</t>
  </si>
  <si>
    <t>09</t>
  </si>
  <si>
    <t>12</t>
  </si>
  <si>
    <t>ActYear_m8Y</t>
  </si>
  <si>
    <t>ActY_m8Y</t>
  </si>
  <si>
    <t>ActYearMonth</t>
  </si>
  <si>
    <t>ActYear_m9Y</t>
  </si>
  <si>
    <t>ActY_m9Y</t>
  </si>
  <si>
    <t>ActQBrMDay</t>
  </si>
  <si>
    <t>31 mar.</t>
  </si>
  <si>
    <t>30 jun.</t>
  </si>
  <si>
    <t>30 sep.</t>
  </si>
  <si>
    <t>31 dec.</t>
  </si>
  <si>
    <t>Mar. 31</t>
  </si>
  <si>
    <t>Jun. 30</t>
  </si>
  <si>
    <t>Sep. 30</t>
  </si>
  <si>
    <t>Dec. 31</t>
  </si>
  <si>
    <t>ActYear_m10Y</t>
  </si>
  <si>
    <t>ActY_m10Y</t>
  </si>
  <si>
    <t>ActQBrDate</t>
  </si>
  <si>
    <t>ActQBrDateYear</t>
  </si>
  <si>
    <t>ActHYear</t>
  </si>
  <si>
    <t>ActQBrDateY</t>
  </si>
  <si>
    <t>ActHYear_m1Y</t>
  </si>
  <si>
    <t>ActPerYear</t>
  </si>
  <si>
    <t>ActPerY</t>
  </si>
  <si>
    <t>ActFullYear</t>
  </si>
  <si>
    <t>jan-dec</t>
  </si>
  <si>
    <t>Jan-Dec</t>
  </si>
  <si>
    <t>ActPer</t>
  </si>
  <si>
    <t>jan-mar</t>
  </si>
  <si>
    <t>apr-jun</t>
  </si>
  <si>
    <t>jul-sep</t>
  </si>
  <si>
    <t>okt-dec</t>
  </si>
  <si>
    <t>Jan-Mar</t>
  </si>
  <si>
    <t>Apr-Jun</t>
  </si>
  <si>
    <t>Jul-Sep</t>
  </si>
  <si>
    <t>Oct-Dec</t>
  </si>
  <si>
    <t>ActFullYear_m1Y</t>
  </si>
  <si>
    <t>ActAckPer</t>
  </si>
  <si>
    <t>jan-jun</t>
  </si>
  <si>
    <t>jan-sep</t>
  </si>
  <si>
    <t>Jan-Jun</t>
  </si>
  <si>
    <t>Jan-Sep</t>
  </si>
  <si>
    <t>FullYear</t>
  </si>
  <si>
    <t>Perioden minus 1Q</t>
  </si>
  <si>
    <t>m1Q_Qn</t>
  </si>
  <si>
    <t>FullYearBrDay</t>
  </si>
  <si>
    <t>m1Q_Q</t>
  </si>
  <si>
    <t>FullYearBrDate</t>
  </si>
  <si>
    <t>m1Q_Q_Year</t>
  </si>
  <si>
    <t>ActFullYearM</t>
  </si>
  <si>
    <t>m1Q_Q_Y</t>
  </si>
  <si>
    <t>ActFullYearM_1Y</t>
  </si>
  <si>
    <t>m1Q_Qn_Year</t>
  </si>
  <si>
    <t>FullYearBrDate_1Y</t>
  </si>
  <si>
    <t>m1Q_Qn_Y</t>
  </si>
  <si>
    <t>FullYearBrDate_2Y</t>
  </si>
  <si>
    <t>m1Q_Mon</t>
  </si>
  <si>
    <t>FullYearBrDate_3Y</t>
  </si>
  <si>
    <t>m1Q_YearMonth</t>
  </si>
  <si>
    <t>m1Q_QBrMDay</t>
  </si>
  <si>
    <t>FullYearT</t>
  </si>
  <si>
    <t>m1Q_QBrDate</t>
  </si>
  <si>
    <t>QuarterT</t>
  </si>
  <si>
    <t>Kvartal</t>
  </si>
  <si>
    <t>m1Q_QBrDateYear</t>
  </si>
  <si>
    <t>m1Q_QBrDateY</t>
  </si>
  <si>
    <t>AARO_Q</t>
  </si>
  <si>
    <t>m1Q_PerYear</t>
  </si>
  <si>
    <t>AARO_Q_m1Q</t>
  </si>
  <si>
    <t>m1Q_PerY</t>
  </si>
  <si>
    <t>AARO_Q_m2Q</t>
  </si>
  <si>
    <t>m1Q_Per</t>
  </si>
  <si>
    <t>AARO_Q_m3Q</t>
  </si>
  <si>
    <t>m1Q_AckPer</t>
  </si>
  <si>
    <t>AARO_Q_m4Q</t>
  </si>
  <si>
    <t>Perioden minus 2Q</t>
  </si>
  <si>
    <t>m2Q_Qn</t>
  </si>
  <si>
    <t>AARO_Q_m5Q</t>
  </si>
  <si>
    <t>m2Q_Q</t>
  </si>
  <si>
    <t>AARO_Q_m6Q</t>
  </si>
  <si>
    <t>m2Q_Q_Year</t>
  </si>
  <si>
    <t>AARO_Q_m7Q</t>
  </si>
  <si>
    <t>m2Q_Q_Y</t>
  </si>
  <si>
    <t>AARO_Q_m8Q</t>
  </si>
  <si>
    <t>m2Q_Qn_Year</t>
  </si>
  <si>
    <t>m2Q_Qn_Y</t>
  </si>
  <si>
    <t>m2Q_Mon</t>
  </si>
  <si>
    <t>AARO_Ack</t>
  </si>
  <si>
    <t>m2Q_YearMonth</t>
  </si>
  <si>
    <t>AARO_Ack_m1Q</t>
  </si>
  <si>
    <t>m2Q_QBrMDay</t>
  </si>
  <si>
    <t>AARO_Ack_m2Q</t>
  </si>
  <si>
    <t>m2Q_QBrDate</t>
  </si>
  <si>
    <t>AARO_Ack_m3Q</t>
  </si>
  <si>
    <t>m2Q_QBrDateYear</t>
  </si>
  <si>
    <t>AARO_Ack_m4Q</t>
  </si>
  <si>
    <t>m2Q_QBrDateY</t>
  </si>
  <si>
    <t>AARO_LastYear</t>
  </si>
  <si>
    <t>m2Q_PerYear</t>
  </si>
  <si>
    <t>AARO_Ack_m5Q</t>
  </si>
  <si>
    <t>m2Q_PerY</t>
  </si>
  <si>
    <t>AARO_Ack_m6Q</t>
  </si>
  <si>
    <t>m2Q_Per</t>
  </si>
  <si>
    <t>AARO_Ack_m7Q</t>
  </si>
  <si>
    <t>m2Q_AckPer</t>
  </si>
  <si>
    <t>AARO_Ack_m8Q</t>
  </si>
  <si>
    <t>Perioden minus 3Q</t>
  </si>
  <si>
    <t>m3Q_Qn</t>
  </si>
  <si>
    <t>AARO_LastYear_2</t>
  </si>
  <si>
    <t>m3Q_Q</t>
  </si>
  <si>
    <t>m3Q_Q_Year</t>
  </si>
  <si>
    <t>m3Q_Q_Y</t>
  </si>
  <si>
    <t>m3Q_Qn_Year</t>
  </si>
  <si>
    <t>m3Q_Qn_Y</t>
  </si>
  <si>
    <t>m3Q_Mon</t>
  </si>
  <si>
    <t>m3Q_YearMonth</t>
  </si>
  <si>
    <t>m3Q_QBrMDay</t>
  </si>
  <si>
    <t>m3Q_QBrDate</t>
  </si>
  <si>
    <t>m3Q_QBrDateYear</t>
  </si>
  <si>
    <t>m3Q_QBrDateY</t>
  </si>
  <si>
    <t>m3Q_PerYear</t>
  </si>
  <si>
    <t>m3Q_PerY</t>
  </si>
  <si>
    <t>m3Q_Per</t>
  </si>
  <si>
    <t>m3Q_AckPer</t>
  </si>
  <si>
    <t>Perioden minus 4Q</t>
  </si>
  <si>
    <t>m4Q_Qn</t>
  </si>
  <si>
    <t>m4Q_Q</t>
  </si>
  <si>
    <t>m4Q_Q_Year</t>
  </si>
  <si>
    <t>m4Q_Q_Y</t>
  </si>
  <si>
    <t>m4Q_Qn_Year</t>
  </si>
  <si>
    <t>m4Q_Qn_Y</t>
  </si>
  <si>
    <t>m4Q_Mon</t>
  </si>
  <si>
    <t>m4Q_YearMonth</t>
  </si>
  <si>
    <t>m4Q_QBrMDay</t>
  </si>
  <si>
    <t>m4Q_QBrDate</t>
  </si>
  <si>
    <t>m4Q_QBrDateYear</t>
  </si>
  <si>
    <t>m4Q_QBrDateY</t>
  </si>
  <si>
    <t>m4Q_PerYear</t>
  </si>
  <si>
    <t>m4Q_PerY</t>
  </si>
  <si>
    <t>m4Q_Per</t>
  </si>
  <si>
    <t>m4Q_AckPer</t>
  </si>
  <si>
    <t>Perioden minus 5Q</t>
  </si>
  <si>
    <t>m5Q_Qn</t>
  </si>
  <si>
    <t>m5Q_Q</t>
  </si>
  <si>
    <t>m5Q_Q_Year</t>
  </si>
  <si>
    <t>m5Q_Q_Y</t>
  </si>
  <si>
    <t>m5Q_Qn_Year</t>
  </si>
  <si>
    <t>m5Q_Qn_Y</t>
  </si>
  <si>
    <t>m5Q_Mon</t>
  </si>
  <si>
    <t>m5Q_YearMonth</t>
  </si>
  <si>
    <t>m5Q_QBrMDay</t>
  </si>
  <si>
    <t>m5Q_QBrDate</t>
  </si>
  <si>
    <t>m5Q_QBrDateYear</t>
  </si>
  <si>
    <t>m5Q_QBrDateY</t>
  </si>
  <si>
    <t>m5Q_PerYear</t>
  </si>
  <si>
    <t>m5Q_PerY</t>
  </si>
  <si>
    <t>m5Q_Per</t>
  </si>
  <si>
    <t>m5Q_AckPer</t>
  </si>
  <si>
    <t>Perioden minus 6Q</t>
  </si>
  <si>
    <t>m6Q_Qn</t>
  </si>
  <si>
    <t>m6Q_Q</t>
  </si>
  <si>
    <t>m6Q_Q_Year</t>
  </si>
  <si>
    <t>m6Q_Q_Y</t>
  </si>
  <si>
    <t>m6Q_Qn_Year</t>
  </si>
  <si>
    <t>m6Q_Qn_Y</t>
  </si>
  <si>
    <t>m6Q_Mon</t>
  </si>
  <si>
    <t>m6Q_YearMonth</t>
  </si>
  <si>
    <t>m6Q_QBrMDay</t>
  </si>
  <si>
    <t>m6Q_QBrDate</t>
  </si>
  <si>
    <t>m6Q_QBrDateYear</t>
  </si>
  <si>
    <t>m6Q_QBrDateY</t>
  </si>
  <si>
    <t>m6Q_PerYear</t>
  </si>
  <si>
    <t>m6Q_PerY</t>
  </si>
  <si>
    <t>m6Q_Per</t>
  </si>
  <si>
    <t>m6Q_AckPer</t>
  </si>
  <si>
    <t>Perioden minus 7Q</t>
  </si>
  <si>
    <t>m7Q_Qn</t>
  </si>
  <si>
    <t>m7Q_Q</t>
  </si>
  <si>
    <t>m7Q_Q_Year</t>
  </si>
  <si>
    <t>m7Q_Q_Y</t>
  </si>
  <si>
    <t>m7Q_Qn_Year</t>
  </si>
  <si>
    <t>m7Q_Qn_Y</t>
  </si>
  <si>
    <t>m7Q_Mon</t>
  </si>
  <si>
    <t>m7Q_YearMonth</t>
  </si>
  <si>
    <t>m7Q_QBrMDay</t>
  </si>
  <si>
    <t>m7Q_QBrDate</t>
  </si>
  <si>
    <t>m7Q_QBrDateYear</t>
  </si>
  <si>
    <t>m7Q_QBrDateY</t>
  </si>
  <si>
    <t>m7Q_PerYear</t>
  </si>
  <si>
    <t>m7Q_PerY</t>
  </si>
  <si>
    <t>m7Q_Per</t>
  </si>
  <si>
    <t>m7Q_AckPer</t>
  </si>
  <si>
    <t>Perioden minus 8Q</t>
  </si>
  <si>
    <t>m8Q_Qn</t>
  </si>
  <si>
    <t>m8Q_Q</t>
  </si>
  <si>
    <t>m8Q_Q_Year</t>
  </si>
  <si>
    <t>m8Q_Q_Y</t>
  </si>
  <si>
    <t>m8Q_Qn_Year</t>
  </si>
  <si>
    <t>m8Q_Qn_Y</t>
  </si>
  <si>
    <t>m8Q_Mon</t>
  </si>
  <si>
    <t>m8Q_YearMonth</t>
  </si>
  <si>
    <t>m8Q_QBrMDay</t>
  </si>
  <si>
    <t>m8Q_QBrDate</t>
  </si>
  <si>
    <t>m8Q_QBrDateYear</t>
  </si>
  <si>
    <t>m8Q_QBrDateY</t>
  </si>
  <si>
    <t>m8Q_PerYear</t>
  </si>
  <si>
    <t>m8Q_PerY</t>
  </si>
  <si>
    <t>m8Q_Per</t>
  </si>
  <si>
    <t>m8Q_AckPer</t>
  </si>
  <si>
    <t>Perioden minus 9Q</t>
  </si>
  <si>
    <t>m9Q_Qn</t>
  </si>
  <si>
    <t>m9Q_Q</t>
  </si>
  <si>
    <t>m9Q_Q_Year</t>
  </si>
  <si>
    <t>m9Q_Q_Y</t>
  </si>
  <si>
    <t>m9Q_Qn_Year</t>
  </si>
  <si>
    <t>m9Q_Qn_Y</t>
  </si>
  <si>
    <t>m9Q_Mon</t>
  </si>
  <si>
    <t>m9Q_YearMonth</t>
  </si>
  <si>
    <t>m9Q_QBrMDay</t>
  </si>
  <si>
    <t>m9Q_QBrDate</t>
  </si>
  <si>
    <t>m9Q_QBrDateYear</t>
  </si>
  <si>
    <t>m9Q_QBrDateY</t>
  </si>
  <si>
    <t>m9Q_PerYear</t>
  </si>
  <si>
    <t>m9Q_PerY</t>
  </si>
  <si>
    <t>m9Q_Per</t>
  </si>
  <si>
    <t>m9Q_AckPer</t>
  </si>
  <si>
    <t>Perioden minus 1 Year</t>
  </si>
  <si>
    <t>m1Y_ActQn</t>
  </si>
  <si>
    <t>m1Y_ActQ</t>
  </si>
  <si>
    <t>m1Y_ActQ_Year</t>
  </si>
  <si>
    <t>m1Y_ActQ_Y</t>
  </si>
  <si>
    <t>m1Y_ActQn_Year</t>
  </si>
  <si>
    <t>m1Y_ActQn_Y</t>
  </si>
  <si>
    <t>m1Y_ActMon</t>
  </si>
  <si>
    <t>m1Y_ActYearMonth</t>
  </si>
  <si>
    <t>m1Y_ActQBrMDay</t>
  </si>
  <si>
    <t>m1Y_ActQBrDate</t>
  </si>
  <si>
    <t>m1Y_ActQBrDateYear</t>
  </si>
  <si>
    <t>m1Y_ActQBrDateY</t>
  </si>
  <si>
    <t>m1Y_ActPerYear</t>
  </si>
  <si>
    <t>m1Y_ActPerY</t>
  </si>
  <si>
    <t>m1Y_ActPer</t>
  </si>
  <si>
    <t>Jan-mar</t>
  </si>
  <si>
    <t>Apr-jun</t>
  </si>
  <si>
    <t>Jul-sep</t>
  </si>
  <si>
    <t>Okt-dec</t>
  </si>
  <si>
    <t>m1Y_ActAckPer</t>
  </si>
  <si>
    <t>Jan-jun</t>
  </si>
  <si>
    <t>Jan-sep</t>
  </si>
  <si>
    <t>Jan-dec</t>
  </si>
  <si>
    <t>Rullande 12 mån</t>
  </si>
  <si>
    <t>ActQBrDateR12Start</t>
  </si>
  <si>
    <t>1 apr</t>
  </si>
  <si>
    <t>1 jul</t>
  </si>
  <si>
    <t>1 okt</t>
  </si>
  <si>
    <t>1 jan</t>
  </si>
  <si>
    <t>1 Apr</t>
  </si>
  <si>
    <t>1 Jul</t>
  </si>
  <si>
    <t>1 Oct</t>
  </si>
  <si>
    <t>1 Jan</t>
  </si>
  <si>
    <t>ActQBrDateR12Slut</t>
  </si>
  <si>
    <t>§</t>
  </si>
  <si>
    <t>ActQBrDateR12</t>
  </si>
  <si>
    <t>ActAckPerR12</t>
  </si>
  <si>
    <t>apr-mar</t>
  </si>
  <si>
    <t>jul-jun</t>
  </si>
  <si>
    <t>okt-sep</t>
  </si>
  <si>
    <t>Apr-Mar</t>
  </si>
  <si>
    <t>Jul-Jun</t>
  </si>
  <si>
    <t>Oct-Sep</t>
  </si>
  <si>
    <t>2) 2018 numbers restated according to the new business area structure</t>
  </si>
  <si>
    <r>
      <t>2018 Q1</t>
    </r>
    <r>
      <rPr>
        <b/>
        <vertAlign val="superscript"/>
        <sz val="10"/>
        <rFont val="Arial"/>
        <family val="2"/>
      </rPr>
      <t>2)</t>
    </r>
  </si>
  <si>
    <r>
      <t>2018 Q2</t>
    </r>
    <r>
      <rPr>
        <b/>
        <vertAlign val="superscript"/>
        <sz val="10"/>
        <rFont val="Arial"/>
        <family val="2"/>
      </rPr>
      <t>2)</t>
    </r>
  </si>
  <si>
    <r>
      <t>2018 Q3</t>
    </r>
    <r>
      <rPr>
        <b/>
        <vertAlign val="superscript"/>
        <sz val="10"/>
        <rFont val="Arial"/>
        <family val="2"/>
      </rPr>
      <t>2)</t>
    </r>
  </si>
  <si>
    <r>
      <t>2018 Q4</t>
    </r>
    <r>
      <rPr>
        <b/>
        <vertAlign val="superscript"/>
        <sz val="10"/>
        <rFont val="Arial"/>
        <family val="2"/>
      </rPr>
      <t>2)</t>
    </r>
  </si>
  <si>
    <t>Business Area Asia-Pacific, Middle East and Africa</t>
  </si>
  <si>
    <t>Acquisition and divestments</t>
  </si>
  <si>
    <t>Europe (Y)</t>
  </si>
  <si>
    <t>North America (Y)</t>
  </si>
  <si>
    <t>Latin America (Y)</t>
  </si>
  <si>
    <t>Asia-Pacific, Middle East and Africa (Y)</t>
  </si>
  <si>
    <t>Net Sales and Income (Y)</t>
  </si>
  <si>
    <t>Financial position (Q)</t>
  </si>
  <si>
    <t>Financial position (Y)</t>
  </si>
  <si>
    <t>Europe (Q)</t>
  </si>
  <si>
    <t>North America (Q)</t>
  </si>
  <si>
    <t>Latin America (Q)</t>
  </si>
  <si>
    <t>Asia-Pacific, Middle East and Africa (Q)</t>
  </si>
  <si>
    <t>Professional Products (Q)</t>
  </si>
  <si>
    <t>Data per share (Y)</t>
  </si>
  <si>
    <t>Net Sales and income (Q)</t>
  </si>
  <si>
    <t>2019 Q2</t>
  </si>
  <si>
    <t>2019 Q3</t>
  </si>
  <si>
    <r>
      <t>Financial position</t>
    </r>
    <r>
      <rPr>
        <b/>
        <vertAlign val="superscript"/>
        <sz val="10"/>
        <rFont val="Arial"/>
        <family val="2"/>
      </rPr>
      <t>1)</t>
    </r>
  </si>
  <si>
    <r>
      <t>Cash flow</t>
    </r>
    <r>
      <rPr>
        <b/>
        <vertAlign val="superscript"/>
        <sz val="10"/>
        <rFont val="Arial"/>
        <family val="2"/>
      </rPr>
      <t>1)</t>
    </r>
  </si>
  <si>
    <t>Professional Products (discontinued operations)</t>
  </si>
  <si>
    <r>
      <t>Net assets as % of net sales</t>
    </r>
    <r>
      <rPr>
        <vertAlign val="superscript"/>
        <sz val="10"/>
        <rFont val="Arial"/>
        <family val="2"/>
      </rPr>
      <t xml:space="preserve"> 3), 4)</t>
    </r>
  </si>
  <si>
    <r>
      <t>Inventories as % of net sales</t>
    </r>
    <r>
      <rPr>
        <vertAlign val="superscript"/>
        <sz val="10"/>
        <rFont val="Arial"/>
        <family val="2"/>
      </rPr>
      <t xml:space="preserve"> 3), 4)</t>
    </r>
  </si>
  <si>
    <r>
      <t>Trade receivables as % of net sales</t>
    </r>
    <r>
      <rPr>
        <vertAlign val="superscript"/>
        <sz val="10"/>
        <rFont val="Arial"/>
        <family val="2"/>
      </rPr>
      <t xml:space="preserve"> 3), 4)</t>
    </r>
  </si>
  <si>
    <r>
      <t xml:space="preserve">Capital turnover, times </t>
    </r>
    <r>
      <rPr>
        <vertAlign val="superscript"/>
        <sz val="10"/>
        <rFont val="Arial"/>
        <family val="2"/>
      </rPr>
      <t>4)</t>
    </r>
  </si>
  <si>
    <r>
      <t xml:space="preserve">Return on net assets </t>
    </r>
    <r>
      <rPr>
        <vertAlign val="superscript"/>
        <sz val="10"/>
        <rFont val="Arial"/>
        <family val="2"/>
      </rPr>
      <t>4)</t>
    </r>
  </si>
  <si>
    <t>4) Calculated based on year to date numbers.</t>
  </si>
  <si>
    <t>1) All periods show Total Group, including Electrolux Professional (discontinued operations).</t>
  </si>
  <si>
    <r>
      <t>Net sales by country</t>
    </r>
    <r>
      <rPr>
        <b/>
        <vertAlign val="superscript"/>
        <sz val="10"/>
        <rFont val="Arial"/>
        <family val="2"/>
      </rPr>
      <t>1)</t>
    </r>
  </si>
  <si>
    <r>
      <t>Employees by country</t>
    </r>
    <r>
      <rPr>
        <b/>
        <vertAlign val="superscript"/>
        <sz val="10"/>
        <rFont val="Arial"/>
        <family val="2"/>
      </rPr>
      <t>1)</t>
    </r>
  </si>
  <si>
    <t>2) All periods show Total Group, including Electrolux Professional (discontinued operations).</t>
  </si>
  <si>
    <r>
      <t xml:space="preserve">Return on equity </t>
    </r>
    <r>
      <rPr>
        <vertAlign val="superscript"/>
        <sz val="10"/>
        <rFont val="Arial"/>
        <family val="2"/>
      </rPr>
      <t>2), 4)</t>
    </r>
  </si>
  <si>
    <r>
      <t>Net debt/equity, ratio</t>
    </r>
    <r>
      <rPr>
        <vertAlign val="superscript"/>
        <sz val="10"/>
        <rFont val="Arial"/>
        <family val="2"/>
      </rPr>
      <t>2)</t>
    </r>
  </si>
  <si>
    <t>1) Sales by country receiving products</t>
  </si>
  <si>
    <r>
      <t>Net debt/equity, ratio</t>
    </r>
    <r>
      <rPr>
        <vertAlign val="superscript"/>
        <sz val="10"/>
        <rFont val="Arial"/>
        <family val="2"/>
      </rPr>
      <t>3)</t>
    </r>
  </si>
  <si>
    <r>
      <t>Net assets as % of net sales</t>
    </r>
    <r>
      <rPr>
        <vertAlign val="superscript"/>
        <sz val="10"/>
        <rFont val="Arial"/>
        <family val="2"/>
      </rPr>
      <t xml:space="preserve"> 4)</t>
    </r>
  </si>
  <si>
    <r>
      <t>Inventories as % of net sales</t>
    </r>
    <r>
      <rPr>
        <vertAlign val="superscript"/>
        <sz val="10"/>
        <rFont val="Arial"/>
        <family val="2"/>
      </rPr>
      <t xml:space="preserve"> 4)</t>
    </r>
  </si>
  <si>
    <r>
      <t>Trade receivables as % of net sales</t>
    </r>
    <r>
      <rPr>
        <vertAlign val="superscript"/>
        <sz val="10"/>
        <rFont val="Arial"/>
        <family val="2"/>
      </rPr>
      <t xml:space="preserve"> 4)</t>
    </r>
  </si>
  <si>
    <r>
      <t>Return on equity</t>
    </r>
    <r>
      <rPr>
        <vertAlign val="superscript"/>
        <sz val="10"/>
        <rFont val="Arial"/>
        <family val="2"/>
      </rPr>
      <t>3)</t>
    </r>
  </si>
  <si>
    <t>4) Net sales are annualized.</t>
  </si>
  <si>
    <r>
      <t>Data per share, SEK</t>
    </r>
    <r>
      <rPr>
        <b/>
        <vertAlign val="superscript"/>
        <sz val="10"/>
        <rFont val="Geneva"/>
        <family val="0"/>
      </rPr>
      <t xml:space="preserve">1) </t>
    </r>
  </si>
  <si>
    <r>
      <t>Net debt</t>
    </r>
    <r>
      <rPr>
        <b/>
        <vertAlign val="superscript"/>
        <sz val="10"/>
        <rFont val="Arial"/>
        <family val="2"/>
      </rPr>
      <t>1)</t>
    </r>
  </si>
  <si>
    <r>
      <t>Rating</t>
    </r>
    <r>
      <rPr>
        <b/>
        <vertAlign val="superscript"/>
        <sz val="10"/>
        <rFont val="Arial"/>
        <family val="2"/>
      </rPr>
      <t>1)</t>
    </r>
  </si>
  <si>
    <t>2019 Q4</t>
  </si>
  <si>
    <t>Croatia</t>
  </si>
  <si>
    <t>2019</t>
  </si>
  <si>
    <t>Leases - Financial liability</t>
  </si>
  <si>
    <t>December 31, 2019</t>
  </si>
  <si>
    <t>2024</t>
  </si>
  <si>
    <t>Puerto Rico</t>
  </si>
  <si>
    <t>n/a</t>
  </si>
  <si>
    <t>1) All periods except 2019 Q4 show Total Group, including Electrolux Professional (discontinued operations).</t>
  </si>
  <si>
    <t>1) All periods except 2019 show Total Group, including Electrolux Professional (discontinued operations).</t>
  </si>
  <si>
    <t>Interest coverage, ratio</t>
  </si>
  <si>
    <t xml:space="preserve">3) All periods except 2019 show Total Group, including Electrolux Professional (discontinued operations) </t>
  </si>
  <si>
    <t>5) All periods show Total Group, including Electrolux Professional (discontinued operations).</t>
  </si>
  <si>
    <r>
      <t>Dividend as % of equity</t>
    </r>
    <r>
      <rPr>
        <vertAlign val="superscript"/>
        <sz val="10"/>
        <rFont val="Arial"/>
        <family val="2"/>
      </rPr>
      <t>5)</t>
    </r>
    <r>
      <rPr>
        <sz val="10"/>
        <rFont val="Arial"/>
        <family val="2"/>
      </rPr>
      <t xml:space="preserve"> </t>
    </r>
  </si>
  <si>
    <t>note</t>
  </si>
  <si>
    <t xml:space="preserve">As of Q4 2019, Electrolux professional is reported as discontinued operations, following the decision by the Board to propose a distribution of the shares. For 2018 and 2019, the financials refer to the consumer business, continuing operations, exclusive of Electrolux Professional, unless otherwise stated. For more information, see https://www.electroluxgroup.com/en/accounting-principles-22991/
</t>
  </si>
  <si>
    <t>2020 Q1</t>
  </si>
  <si>
    <t>2020 Q2</t>
  </si>
  <si>
    <t>Income for the period, total Group</t>
  </si>
  <si>
    <t>2020 Q3</t>
  </si>
  <si>
    <t>2020 Q4</t>
  </si>
  <si>
    <t>2025</t>
  </si>
  <si>
    <t>S&amp;P Global Ratings</t>
  </si>
  <si>
    <t>United Kingdom</t>
  </si>
  <si>
    <t>2021 Q1</t>
  </si>
  <si>
    <r>
      <t xml:space="preserve">Data per share, SEK </t>
    </r>
    <r>
      <rPr>
        <b/>
        <vertAlign val="superscript"/>
        <sz val="10"/>
        <rFont val="Geneva"/>
        <family val="0"/>
      </rPr>
      <t xml:space="preserve">1) </t>
    </r>
  </si>
  <si>
    <r>
      <t xml:space="preserve">Employees by country </t>
    </r>
    <r>
      <rPr>
        <b/>
        <vertAlign val="superscript"/>
        <sz val="10"/>
        <rFont val="Arial"/>
        <family val="2"/>
      </rPr>
      <t>1)</t>
    </r>
  </si>
  <si>
    <r>
      <t xml:space="preserve">Net sales by country </t>
    </r>
    <r>
      <rPr>
        <b/>
        <vertAlign val="superscript"/>
        <sz val="10"/>
        <rFont val="Arial"/>
        <family val="2"/>
      </rPr>
      <t>1)</t>
    </r>
  </si>
  <si>
    <r>
      <t xml:space="preserve">Net debt </t>
    </r>
    <r>
      <rPr>
        <b/>
        <vertAlign val="superscript"/>
        <sz val="10"/>
        <rFont val="Arial"/>
        <family val="2"/>
      </rPr>
      <t>1)</t>
    </r>
  </si>
  <si>
    <r>
      <t xml:space="preserve">Rating </t>
    </r>
    <r>
      <rPr>
        <b/>
        <vertAlign val="superscript"/>
        <sz val="10"/>
        <rFont val="Arial"/>
        <family val="2"/>
      </rPr>
      <t>1)</t>
    </r>
  </si>
  <si>
    <r>
      <t xml:space="preserve">Cash flow </t>
    </r>
    <r>
      <rPr>
        <b/>
        <vertAlign val="superscript"/>
        <sz val="10"/>
        <rFont val="Arial"/>
        <family val="2"/>
      </rPr>
      <t>1)</t>
    </r>
  </si>
  <si>
    <r>
      <t xml:space="preserve">Financial position </t>
    </r>
    <r>
      <rPr>
        <b/>
        <vertAlign val="superscript"/>
        <sz val="10"/>
        <rFont val="Arial"/>
        <family val="2"/>
      </rPr>
      <t>1)</t>
    </r>
  </si>
  <si>
    <t>Operating income</t>
  </si>
  <si>
    <t>2021 Q2</t>
  </si>
  <si>
    <t>2021 Q3</t>
  </si>
  <si>
    <t>2021 Q4</t>
  </si>
  <si>
    <t>“KR_RONA_E”</t>
  </si>
  <si>
    <t>2022 Q1</t>
  </si>
  <si>
    <t>2022 Q2</t>
  </si>
  <si>
    <t>2) All periods up until and including 2020 Q4 include Electrolux Professional (discontinued operations).</t>
  </si>
  <si>
    <t>Electrolux Professional (discontinued operations) is included in historical periods before Q4 2019</t>
  </si>
  <si>
    <t>1) All periods up until  2019 Q4 show Total Group, including Electrolux Professional (discontinued operations).</t>
  </si>
  <si>
    <t>1) All periods up until and including 2020 Q1 show Total Group, including Electrolux Professional (discontinued operations).</t>
  </si>
  <si>
    <t>2022 Q3</t>
  </si>
  <si>
    <t>2022 Q4</t>
  </si>
  <si>
    <t>not 18</t>
  </si>
  <si>
    <t>Long-term financial receivable</t>
  </si>
  <si>
    <t xml:space="preserve">As of Q4 2019, Electrolux professional is reported as discontinued operations, following the decision by the Board to propose a distribution of the shares. For 2018 and onwards, the financials refer to the consumer business, continuing operations, exclusive of Electrolux Professional, unless otherwise stated. For more information, see https://www.electroluxgroup.com/en/accounting-principles-22991/
</t>
  </si>
  <si>
    <t xml:space="preserve">3) All periods until 2019 show Total Group, including Electrolux Professional (discontinued operations) </t>
  </si>
  <si>
    <t>5) All periods until 2020 show Total Group, including Electrolux Professional (discontinued operations).</t>
  </si>
  <si>
    <t>2028-</t>
  </si>
  <si>
    <t>Negative</t>
  </si>
  <si>
    <t>2023 Q1</t>
  </si>
  <si>
    <t>2023 Q2</t>
  </si>
  <si>
    <t>2023 Q3</t>
  </si>
  <si>
    <t>2023 Q4</t>
  </si>
  <si>
    <t>2029-</t>
  </si>
  <si>
    <t>December 31, 2023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</si>
</sst>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(* #,##0.00_);_(* \(#,##0.00\);_(* &quot;-&quot;??_);_(@_)"/>
    <numFmt numFmtId="165" formatCode="_-* #,##0.00_ _k_r_-;\-* #,##0.00_ _k_r_-;_-* &quot;-&quot;??_ _k_r_-;_-@_-"/>
    <numFmt numFmtId="166" formatCode="#,##0.0"/>
    <numFmt numFmtId="167" formatCode="0.0"/>
    <numFmt numFmtId="168" formatCode="0.0%"/>
    <numFmt numFmtId="169" formatCode="yyyy\-mm\-dd"/>
    <numFmt numFmtId="170" formatCode="&quot;Senast uppdaterat: &quot;yyyy\-mm\-dd\ "/>
    <numFmt numFmtId="171" formatCode="&quot;Last updated: &quot;yyyy\-mm\-dd"/>
    <numFmt numFmtId="172" formatCode="0.00_)"/>
    <numFmt numFmtId="173" formatCode="yyyy/mm/dd;@"/>
    <numFmt numFmtId="174" formatCode="0_ ;\-0\ "/>
    <numFmt numFmtId="175" formatCode="_j#,##0;_j\-#,##0;_j0;_j@"/>
    <numFmt numFmtId="176" formatCode="#,##0.0_j;\-#,##0.0_j;0.0_j;@_j"/>
    <numFmt numFmtId="177" formatCode="#,##0_j;\-#,##0_j;0_j;@_j"/>
  </numFmts>
  <fonts count="8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1"/>
      <color indexed="60"/>
      <name val="Calibri"/>
      <family val="2"/>
    </font>
    <font>
      <b/>
      <sz val="8"/>
      <color indexed="12"/>
      <name val="Verdana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Verdana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Geneva"/>
      <family val="0"/>
    </font>
    <font>
      <b/>
      <sz val="10"/>
      <name val="Geneva"/>
      <family val="0"/>
    </font>
    <font>
      <b/>
      <vertAlign val="superscript"/>
      <sz val="10"/>
      <name val="Geneva"/>
      <family val="0"/>
    </font>
    <font>
      <b/>
      <sz val="10"/>
      <color indexed="12"/>
      <name val="Verdana"/>
      <family val="2"/>
    </font>
    <font>
      <sz val="8"/>
      <color indexed="23"/>
      <name val="Arial"/>
      <family val="2"/>
    </font>
    <font>
      <b/>
      <i/>
      <sz val="16"/>
      <name val="Helv"/>
      <family val="0"/>
    </font>
    <font>
      <b/>
      <sz val="11"/>
      <name val="Times New Roman"/>
      <family val="1"/>
    </font>
    <font>
      <b/>
      <vertAlign val="superscript"/>
      <sz val="10"/>
      <name val="Arial"/>
      <family val="2"/>
    </font>
    <font>
      <b/>
      <i/>
      <sz val="10"/>
      <color indexed="12"/>
      <name val="Verdana"/>
      <family val="2"/>
    </font>
    <font>
      <i/>
      <sz val="8"/>
      <color indexed="12"/>
      <name val="Verdana"/>
      <family val="2"/>
    </font>
    <font>
      <i/>
      <sz val="10"/>
      <name val="Geneva"/>
      <family val="0"/>
    </font>
    <font>
      <i/>
      <sz val="8"/>
      <color indexed="15"/>
      <name val="Arial"/>
      <family val="2"/>
    </font>
    <font>
      <b/>
      <sz val="12"/>
      <name val="Times New Roman"/>
      <family val="1"/>
    </font>
    <font>
      <vertAlign val="superscript"/>
      <sz val="10"/>
      <name val="Geneva"/>
      <family val="0"/>
    </font>
    <font>
      <sz val="10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8"/>
      <color indexed="8"/>
      <name val="Cambria"/>
      <family val="2"/>
    </font>
    <font>
      <i/>
      <sz val="10"/>
      <color indexed="23"/>
      <name val="Arial"/>
      <family val="2"/>
    </font>
    <font>
      <sz val="10"/>
      <color indexed="23"/>
      <name val="Arial"/>
      <family val="2"/>
    </font>
    <font>
      <b/>
      <sz val="8"/>
      <color indexed="23"/>
      <name val="Verdana"/>
      <family val="2"/>
    </font>
    <font>
      <b/>
      <sz val="10"/>
      <color indexed="23"/>
      <name val="Arial"/>
      <family val="2"/>
    </font>
    <font>
      <b/>
      <sz val="10"/>
      <color indexed="23"/>
      <name val="Verdana"/>
      <family val="2"/>
    </font>
    <font>
      <b/>
      <i/>
      <sz val="10"/>
      <color indexed="23"/>
      <name val="Verdana"/>
      <family val="2"/>
    </font>
    <font>
      <i/>
      <sz val="10"/>
      <color indexed="23"/>
      <name val="Verdana"/>
      <family val="2"/>
    </font>
    <font>
      <b/>
      <sz val="10"/>
      <color indexed="9"/>
      <name val="Calibri"/>
      <family val="2"/>
    </font>
    <font>
      <sz val="8"/>
      <color indexed="23"/>
      <name val="Verdana"/>
      <family val="2"/>
    </font>
    <font>
      <b/>
      <sz val="11"/>
      <color indexed="8"/>
      <name val="Calibri"/>
      <family val="2"/>
    </font>
    <font>
      <sz val="11"/>
      <color indexed="63"/>
      <name val="Segoe UI"/>
      <family val="2"/>
    </font>
    <font>
      <sz val="10"/>
      <color indexed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8"/>
      <color theme="1"/>
      <name val="Calibri"/>
      <family val="2"/>
    </font>
    <font>
      <b/>
      <sz val="11"/>
      <color rgb="FF3F3F3F"/>
      <name val="Calibri"/>
      <family val="2"/>
    </font>
    <font>
      <sz val="8"/>
      <color theme="1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0" tint="-0.4999699890613556"/>
      <name val="Arial"/>
      <family val="2"/>
    </font>
    <font>
      <sz val="10"/>
      <color theme="0" tint="-0.4999699890613556"/>
      <name val="Arial"/>
      <family val="2"/>
    </font>
    <font>
      <b/>
      <sz val="8"/>
      <color theme="0" tint="-0.4999699890613556"/>
      <name val="Verdana"/>
      <family val="2"/>
    </font>
    <font>
      <b/>
      <sz val="10"/>
      <color theme="0" tint="-0.4999699890613556"/>
      <name val="Arial"/>
      <family val="2"/>
    </font>
    <font>
      <b/>
      <sz val="10"/>
      <color theme="0" tint="-0.4999699890613556"/>
      <name val="Verdana"/>
      <family val="2"/>
    </font>
    <font>
      <b/>
      <i/>
      <sz val="10"/>
      <color theme="0" tint="-0.4999699890613556"/>
      <name val="Verdana"/>
      <family val="2"/>
    </font>
    <font>
      <i/>
      <sz val="10"/>
      <color theme="0" tint="-0.4999699890613556"/>
      <name val="Verdana"/>
      <family val="2"/>
    </font>
    <font>
      <b/>
      <sz val="10"/>
      <color theme="0"/>
      <name val="Calibri"/>
      <family val="2"/>
    </font>
    <font>
      <sz val="8"/>
      <color theme="0" tint="-0.4999699890613556"/>
      <name val="Verdana"/>
      <family val="2"/>
    </font>
    <font>
      <sz val="11"/>
      <color rgb="FF242424"/>
      <name val="Segoe UI"/>
      <family val="2"/>
    </font>
    <font>
      <sz val="10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hair">
        <color theme="0" tint="-0.24993999302387238"/>
      </top>
      <bottom style="hair">
        <color theme="0" tint="-0.24993999302387238"/>
      </bottom>
    </border>
    <border>
      <left/>
      <right/>
      <top style="hair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ck">
        <color theme="0" tint="-0.24993999302387238"/>
      </left>
      <right/>
      <top style="thick">
        <color theme="0" tint="-0.24993999302387238"/>
      </top>
      <bottom/>
    </border>
    <border>
      <left/>
      <right/>
      <top style="thick">
        <color theme="0" tint="-0.24993999302387238"/>
      </top>
      <bottom/>
    </border>
    <border>
      <left/>
      <right style="thick">
        <color theme="0" tint="-0.24993999302387238"/>
      </right>
      <top style="thick">
        <color theme="0" tint="-0.24993999302387238"/>
      </top>
      <bottom/>
    </border>
    <border>
      <left style="thick">
        <color theme="0" tint="-0.24993999302387238"/>
      </left>
      <right/>
      <top/>
      <bottom/>
    </border>
    <border>
      <left/>
      <right style="thick">
        <color theme="0" tint="-0.24993999302387238"/>
      </right>
      <top/>
      <bottom/>
    </border>
    <border>
      <left style="thick">
        <color theme="0" tint="-0.24993999302387238"/>
      </left>
      <right/>
      <top/>
      <bottom style="thick">
        <color theme="0" tint="-0.24993999302387238"/>
      </bottom>
    </border>
    <border>
      <left/>
      <right/>
      <top/>
      <bottom style="thick">
        <color theme="0" tint="-0.24993999302387238"/>
      </bottom>
    </border>
    <border>
      <left/>
      <right style="thick">
        <color theme="0" tint="-0.24993999302387238"/>
      </right>
      <top/>
      <bottom style="thick">
        <color theme="0" tint="-0.24993999302387238"/>
      </bottom>
    </border>
    <border>
      <left style="medium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 style="thin">
        <color theme="0" tint="-0.24993999302387238"/>
      </left>
      <right style="medium">
        <color theme="0" tint="-0.24993999302387238"/>
      </right>
      <top/>
      <bottom style="thin">
        <color theme="0" tint="-0.24993999302387238"/>
      </bottom>
    </border>
    <border>
      <left style="medium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medium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medium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 style="medium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 style="medium">
        <color theme="0" tint="-0.24993999302387238"/>
      </left>
      <right style="thin">
        <color theme="0" tint="-0.24993999302387238"/>
      </right>
      <top style="medium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medium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thin">
        <color theme="0" tint="-0.24993999302387238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>
        <color theme="0" tint="-0.24993999302387238"/>
      </left>
      <right style="thin">
        <color theme="0" tint="-0.24993999302387238"/>
      </right>
      <top style="thick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ck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ck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ck">
        <color theme="0" tint="-0.24993999302387238"/>
      </right>
      <top style="thick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ck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ck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 style="thick">
        <color theme="0" tint="-0.24993999302387238"/>
      </right>
      <top style="medium">
        <color theme="0" tint="-0.24993999302387238"/>
      </top>
      <bottom style="thin">
        <color theme="0" tint="-0.24993999302387238"/>
      </bottom>
    </border>
    <border>
      <left style="medium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ck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ck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ck">
        <color theme="0" tint="-0.24993999302387238"/>
      </bottom>
    </border>
    <border>
      <left style="thin">
        <color theme="0" tint="-0.24993999302387238"/>
      </left>
      <right style="thick">
        <color theme="0" tint="-0.24993999302387238"/>
      </right>
      <top style="thin">
        <color theme="0" tint="-0.24993999302387238"/>
      </top>
      <bottom style="thick">
        <color theme="0" tint="-0.24993999302387238"/>
      </bottom>
    </border>
    <border>
      <left style="medium">
        <color theme="0" tint="-0.24993999302387238"/>
      </left>
      <right style="thin">
        <color theme="0" tint="-0.24993999302387238"/>
      </right>
      <top style="thick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ck"/>
      <bottom style="thin">
        <color theme="0" tint="-0.24993999302387238"/>
      </bottom>
    </border>
    <border>
      <left style="thin">
        <color theme="0" tint="-0.24993999302387238"/>
      </left>
      <right/>
      <top style="thick"/>
      <bottom style="thin">
        <color theme="0" tint="-0.24993999302387238"/>
      </bottom>
    </border>
    <border>
      <left style="thin">
        <color theme="0" tint="-0.24993999302387238"/>
      </left>
      <right style="thick"/>
      <top style="thick"/>
      <bottom style="thin">
        <color theme="0" tint="-0.24993999302387238"/>
      </bottom>
    </border>
    <border>
      <left style="thin">
        <color theme="0" tint="-0.24993999302387238"/>
      </left>
      <right style="thick"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ck"/>
      <top style="thin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 style="thick"/>
      <top style="medium">
        <color theme="0" tint="-0.24993999302387238"/>
      </top>
      <bottom style="thin">
        <color theme="0" tint="-0.24993999302387238"/>
      </bottom>
    </border>
    <border>
      <left style="medium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ck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ck"/>
    </border>
    <border>
      <left style="thin">
        <color theme="0" tint="-0.24993999302387238"/>
      </left>
      <right/>
      <top style="thin">
        <color theme="0" tint="-0.24993999302387238"/>
      </top>
      <bottom style="thick"/>
    </border>
    <border>
      <left style="thin">
        <color theme="0" tint="-0.24993999302387238"/>
      </left>
      <right style="thick"/>
      <top style="thin">
        <color theme="0" tint="-0.24993999302387238"/>
      </top>
      <bottom style="thick"/>
    </border>
    <border>
      <left style="thick"/>
      <right style="medium">
        <color theme="0" tint="-0.24993999302387238"/>
      </right>
      <top style="thick"/>
      <bottom/>
    </border>
    <border>
      <left style="thick"/>
      <right style="medium">
        <color theme="0" tint="-0.24993999302387238"/>
      </right>
      <top/>
      <bottom/>
    </border>
    <border>
      <left style="thick"/>
      <right style="medium">
        <color theme="0" tint="-0.24993999302387238"/>
      </right>
      <top/>
      <bottom style="thick"/>
    </border>
    <border>
      <left style="thick">
        <color theme="0" tint="-0.24993999302387238"/>
      </left>
      <right style="medium">
        <color theme="0" tint="-0.24993999302387238"/>
      </right>
      <top style="thick">
        <color theme="0" tint="-0.24993999302387238"/>
      </top>
      <bottom/>
    </border>
    <border>
      <left style="thick">
        <color theme="0" tint="-0.24993999302387238"/>
      </left>
      <right style="medium">
        <color theme="0" tint="-0.24993999302387238"/>
      </right>
      <top/>
      <bottom/>
    </border>
    <border>
      <left style="thick">
        <color theme="0" tint="-0.24993999302387238"/>
      </left>
      <right style="medium">
        <color theme="0" tint="-0.24993999302387238"/>
      </right>
      <top/>
      <bottom style="thick">
        <color theme="0" tint="-0.24993999302387238"/>
      </bottom>
    </border>
    <border>
      <left style="medium">
        <color theme="0" tint="-0.24993999302387238"/>
      </left>
      <right style="medium">
        <color theme="0" tint="-0.24993999302387238"/>
      </right>
      <top style="thick">
        <color theme="0" tint="-0.24993999302387238"/>
      </top>
      <bottom/>
    </border>
    <border>
      <left style="medium">
        <color theme="0" tint="-0.24993999302387238"/>
      </left>
      <right style="medium">
        <color theme="0" tint="-0.24993999302387238"/>
      </right>
      <top/>
      <bottom/>
    </border>
    <border>
      <left style="medium">
        <color theme="0" tint="-0.24993999302387238"/>
      </left>
      <right style="medium">
        <color theme="0" tint="-0.24993999302387238"/>
      </right>
      <top/>
      <bottom style="thick">
        <color theme="0" tint="-0.24993999302387238"/>
      </bottom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38" fontId="3" fillId="30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31" borderId="1" applyNumberFormat="0" applyAlignment="0" applyProtection="0"/>
    <xf numFmtId="10" fontId="3" fillId="32" borderId="6" applyNumberFormat="0" applyBorder="0" applyAlignment="0" applyProtection="0"/>
    <xf numFmtId="0" fontId="69" fillId="0" borderId="7" applyNumberFormat="0" applyFill="0" applyAlignment="0" applyProtection="0"/>
    <xf numFmtId="0" fontId="5" fillId="33" borderId="0" applyNumberFormat="0" applyBorder="0" applyAlignment="0" applyProtection="0"/>
    <xf numFmtId="172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66" fontId="24" fillId="0" borderId="0" applyFill="0" applyBorder="0" applyAlignment="0">
      <protection locked="0"/>
    </xf>
    <xf numFmtId="0" fontId="0" fillId="34" borderId="8" applyNumberFormat="0" applyFont="0" applyAlignment="0" applyProtection="0"/>
    <xf numFmtId="0" fontId="71" fillId="27" borderId="9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8" fontId="24" fillId="0" borderId="0" applyFill="0" applyBorder="0" applyAlignment="0">
      <protection locked="0"/>
    </xf>
    <xf numFmtId="175" fontId="70" fillId="3" borderId="0" applyNumberFormat="0" applyFont="0" applyBorder="0" applyAlignment="0" applyProtection="0"/>
    <xf numFmtId="1" fontId="2" fillId="0" borderId="0" applyFill="0" applyBorder="0" applyProtection="0">
      <alignment horizontal="right" wrapText="1"/>
    </xf>
    <xf numFmtId="0" fontId="25" fillId="0" borderId="10">
      <alignment horizontal="center"/>
      <protection/>
    </xf>
    <xf numFmtId="176" fontId="70" fillId="0" borderId="0" applyFill="0" applyAlignment="0" applyProtection="0"/>
    <xf numFmtId="0" fontId="0" fillId="0" borderId="11" applyNumberFormat="0" applyFont="0" applyFill="0" applyAlignment="0" applyProtection="0"/>
    <xf numFmtId="177" fontId="72" fillId="0" borderId="12" applyFill="0" applyBorder="0" applyAlignment="0" applyProtection="0"/>
    <xf numFmtId="40" fontId="19" fillId="0" borderId="0">
      <alignment/>
      <protection/>
    </xf>
    <xf numFmtId="0" fontId="73" fillId="0" borderId="0" applyNumberFormat="0" applyFill="0" applyBorder="0" applyAlignment="0" applyProtection="0"/>
    <xf numFmtId="0" fontId="74" fillId="0" borderId="13" applyNumberFormat="0" applyFill="0" applyAlignment="0" applyProtection="0"/>
    <xf numFmtId="0" fontId="75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3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49" fontId="1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10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9" fillId="0" borderId="0" xfId="0" applyFont="1" applyAlignment="1">
      <alignment/>
    </xf>
    <xf numFmtId="0" fontId="16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horizontal="right"/>
    </xf>
    <xf numFmtId="0" fontId="0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170" fontId="17" fillId="0" borderId="0" xfId="0" applyNumberFormat="1" applyFont="1" applyAlignment="1">
      <alignment horizontal="left"/>
    </xf>
    <xf numFmtId="171" fontId="17" fillId="0" borderId="0" xfId="0" applyNumberFormat="1" applyFont="1" applyAlignment="1">
      <alignment horizontal="left" wrapText="1"/>
    </xf>
    <xf numFmtId="0" fontId="8" fillId="0" borderId="0" xfId="0" applyFont="1" applyAlignment="1">
      <alignment horizontal="left"/>
    </xf>
    <xf numFmtId="0" fontId="6" fillId="0" borderId="10" xfId="0" applyFont="1" applyBorder="1" applyAlignment="1">
      <alignment/>
    </xf>
    <xf numFmtId="0" fontId="2" fillId="0" borderId="0" xfId="0" applyFont="1" applyAlignment="1">
      <alignment horizontal="left" wrapText="1" indent="2"/>
    </xf>
    <xf numFmtId="0" fontId="2" fillId="0" borderId="0" xfId="0" applyFont="1" applyAlignment="1">
      <alignment wrapText="1"/>
    </xf>
    <xf numFmtId="0" fontId="6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49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11" fillId="0" borderId="0" xfId="0" applyFont="1" applyAlignment="1">
      <alignment horizontal="left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7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49" fontId="2" fillId="0" borderId="0" xfId="0" applyNumberFormat="1" applyFont="1" applyAlignment="1">
      <alignment/>
    </xf>
    <xf numFmtId="49" fontId="14" fillId="0" borderId="10" xfId="0" applyNumberFormat="1" applyFont="1" applyBorder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 wrapText="1" indent="2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3" fontId="0" fillId="0" borderId="0" xfId="71" applyNumberFormat="1" applyAlignment="1">
      <alignment horizontal="right"/>
      <protection/>
    </xf>
    <xf numFmtId="166" fontId="0" fillId="0" borderId="0" xfId="71" applyNumberFormat="1" applyAlignment="1">
      <alignment horizontal="right"/>
      <protection/>
    </xf>
    <xf numFmtId="171" fontId="0" fillId="0" borderId="0" xfId="0" applyNumberFormat="1" applyFont="1" applyAlignment="1">
      <alignment horizontal="left" wrapText="1" indent="2"/>
    </xf>
    <xf numFmtId="0" fontId="0" fillId="0" borderId="0" xfId="0" applyAlignment="1">
      <alignment wrapText="1"/>
    </xf>
    <xf numFmtId="3" fontId="2" fillId="0" borderId="6" xfId="71" applyNumberFormat="1" applyFont="1" applyBorder="1" applyAlignment="1">
      <alignment horizontal="right" wrapText="1"/>
      <protection/>
    </xf>
    <xf numFmtId="3" fontId="0" fillId="0" borderId="0" xfId="0" applyNumberFormat="1" applyFont="1" applyAlignment="1" quotePrefix="1">
      <alignment/>
    </xf>
    <xf numFmtId="49" fontId="2" fillId="0" borderId="10" xfId="0" applyNumberFormat="1" applyFont="1" applyBorder="1" applyAlignment="1">
      <alignment horizontal="right" wrapText="1"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7" fillId="0" borderId="10" xfId="0" applyFont="1" applyBorder="1" applyAlignment="1">
      <alignment/>
    </xf>
    <xf numFmtId="173" fontId="77" fillId="0" borderId="0" xfId="0" applyNumberFormat="1" applyFont="1" applyAlignment="1">
      <alignment/>
    </xf>
    <xf numFmtId="169" fontId="77" fillId="0" borderId="0" xfId="0" applyNumberFormat="1" applyFont="1" applyAlignment="1">
      <alignment/>
    </xf>
    <xf numFmtId="0" fontId="78" fillId="0" borderId="0" xfId="0" applyFont="1" applyAlignment="1">
      <alignment wrapText="1"/>
    </xf>
    <xf numFmtId="0" fontId="79" fillId="0" borderId="10" xfId="0" applyFont="1" applyBorder="1" applyAlignment="1">
      <alignment/>
    </xf>
    <xf numFmtId="0" fontId="80" fillId="0" borderId="0" xfId="0" applyFont="1" applyAlignment="1">
      <alignment wrapText="1"/>
    </xf>
    <xf numFmtId="0" fontId="81" fillId="0" borderId="0" xfId="0" applyFont="1" applyAlignment="1">
      <alignment wrapText="1"/>
    </xf>
    <xf numFmtId="0" fontId="79" fillId="0" borderId="0" xfId="0" applyFont="1" applyAlignment="1">
      <alignment/>
    </xf>
    <xf numFmtId="0" fontId="82" fillId="0" borderId="0" xfId="0" applyFont="1" applyAlignment="1">
      <alignment wrapText="1"/>
    </xf>
    <xf numFmtId="3" fontId="12" fillId="0" borderId="0" xfId="0" applyNumberFormat="1" applyFont="1" applyAlignment="1">
      <alignment/>
    </xf>
    <xf numFmtId="169" fontId="77" fillId="0" borderId="10" xfId="0" applyNumberFormat="1" applyFont="1" applyBorder="1" applyAlignment="1">
      <alignment/>
    </xf>
    <xf numFmtId="0" fontId="21" fillId="0" borderId="0" xfId="0" applyFont="1" applyAlignment="1">
      <alignment wrapText="1"/>
    </xf>
    <xf numFmtId="0" fontId="12" fillId="0" borderId="0" xfId="0" applyFont="1" applyAlignment="1">
      <alignment horizontal="left" wrapText="1" indent="2"/>
    </xf>
    <xf numFmtId="0" fontId="22" fillId="0" borderId="0" xfId="0" applyFont="1" applyAlignment="1">
      <alignment wrapText="1"/>
    </xf>
    <xf numFmtId="0" fontId="22" fillId="0" borderId="0" xfId="0" applyFont="1" applyAlignment="1">
      <alignment/>
    </xf>
    <xf numFmtId="49" fontId="23" fillId="0" borderId="0" xfId="0" applyNumberFormat="1" applyFont="1" applyAlignment="1">
      <alignment/>
    </xf>
    <xf numFmtId="0" fontId="8" fillId="0" borderId="0" xfId="0" applyFont="1" applyAlignment="1">
      <alignment/>
    </xf>
    <xf numFmtId="0" fontId="77" fillId="22" borderId="0" xfId="0" applyFont="1" applyFill="1" applyAlignment="1">
      <alignment/>
    </xf>
    <xf numFmtId="0" fontId="77" fillId="35" borderId="0" xfId="0" applyFont="1" applyFill="1" applyAlignment="1">
      <alignment/>
    </xf>
    <xf numFmtId="49" fontId="13" fillId="0" borderId="0" xfId="0" applyNumberFormat="1" applyFont="1" applyAlignment="1">
      <alignment/>
    </xf>
    <xf numFmtId="0" fontId="6" fillId="0" borderId="0" xfId="60" applyFont="1" applyAlignment="1">
      <alignment wrapText="1"/>
      <protection/>
    </xf>
    <xf numFmtId="0" fontId="6" fillId="0" borderId="0" xfId="60" applyFont="1">
      <alignment/>
      <protection/>
    </xf>
    <xf numFmtId="0" fontId="7" fillId="0" borderId="0" xfId="60" applyFont="1" applyAlignment="1">
      <alignment horizontal="left"/>
      <protection/>
    </xf>
    <xf numFmtId="0" fontId="7" fillId="0" borderId="0" xfId="60" applyFont="1">
      <alignment/>
      <protection/>
    </xf>
    <xf numFmtId="0" fontId="0" fillId="0" borderId="0" xfId="60">
      <alignment/>
      <protection/>
    </xf>
    <xf numFmtId="169" fontId="77" fillId="0" borderId="0" xfId="60" applyNumberFormat="1" applyFont="1">
      <alignment/>
      <protection/>
    </xf>
    <xf numFmtId="170" fontId="17" fillId="0" borderId="0" xfId="60" applyNumberFormat="1" applyFont="1" applyAlignment="1">
      <alignment horizontal="left"/>
      <protection/>
    </xf>
    <xf numFmtId="171" fontId="17" fillId="0" borderId="0" xfId="60" applyNumberFormat="1" applyFont="1" applyAlignment="1">
      <alignment wrapText="1"/>
      <protection/>
    </xf>
    <xf numFmtId="0" fontId="8" fillId="0" borderId="0" xfId="60" applyFont="1" applyAlignment="1">
      <alignment horizontal="left"/>
      <protection/>
    </xf>
    <xf numFmtId="0" fontId="8" fillId="0" borderId="0" xfId="60" applyFont="1">
      <alignment/>
      <protection/>
    </xf>
    <xf numFmtId="0" fontId="10" fillId="0" borderId="0" xfId="60" applyFont="1" applyAlignment="1">
      <alignment wrapText="1"/>
      <protection/>
    </xf>
    <xf numFmtId="0" fontId="2" fillId="0" borderId="0" xfId="60" applyFont="1" applyAlignment="1">
      <alignment wrapText="1"/>
      <protection/>
    </xf>
    <xf numFmtId="0" fontId="0" fillId="0" borderId="0" xfId="60" applyAlignment="1">
      <alignment wrapText="1"/>
      <protection/>
    </xf>
    <xf numFmtId="169" fontId="77" fillId="0" borderId="10" xfId="60" applyNumberFormat="1" applyFont="1" applyBorder="1">
      <alignment/>
      <protection/>
    </xf>
    <xf numFmtId="0" fontId="6" fillId="0" borderId="10" xfId="60" applyFont="1" applyBorder="1" applyAlignment="1">
      <alignment wrapText="1"/>
      <protection/>
    </xf>
    <xf numFmtId="0" fontId="6" fillId="0" borderId="10" xfId="60" applyFont="1" applyBorder="1">
      <alignment/>
      <protection/>
    </xf>
    <xf numFmtId="0" fontId="2" fillId="0" borderId="10" xfId="60" applyFont="1" applyBorder="1" applyAlignment="1">
      <alignment wrapText="1"/>
      <protection/>
    </xf>
    <xf numFmtId="49" fontId="2" fillId="0" borderId="10" xfId="60" applyNumberFormat="1" applyFont="1" applyBorder="1" applyAlignment="1">
      <alignment horizontal="right" wrapText="1"/>
      <protection/>
    </xf>
    <xf numFmtId="0" fontId="0" fillId="0" borderId="10" xfId="60" applyBorder="1">
      <alignment/>
      <protection/>
    </xf>
    <xf numFmtId="0" fontId="77" fillId="0" borderId="0" xfId="60" applyFont="1">
      <alignment/>
      <protection/>
    </xf>
    <xf numFmtId="0" fontId="80" fillId="0" borderId="0" xfId="60" applyFont="1" applyAlignment="1">
      <alignment wrapText="1"/>
      <protection/>
    </xf>
    <xf numFmtId="3" fontId="0" fillId="0" borderId="0" xfId="60" applyNumberFormat="1">
      <alignment/>
      <protection/>
    </xf>
    <xf numFmtId="0" fontId="79" fillId="0" borderId="0" xfId="60" applyFont="1">
      <alignment/>
      <protection/>
    </xf>
    <xf numFmtId="3" fontId="2" fillId="0" borderId="0" xfId="60" applyNumberFormat="1" applyFont="1">
      <alignment/>
      <protection/>
    </xf>
    <xf numFmtId="0" fontId="2" fillId="0" borderId="0" xfId="60" applyFont="1">
      <alignment/>
      <protection/>
    </xf>
    <xf numFmtId="4" fontId="0" fillId="0" borderId="0" xfId="60" applyNumberFormat="1">
      <alignment/>
      <protection/>
    </xf>
    <xf numFmtId="2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7" fontId="0" fillId="0" borderId="0" xfId="92" applyNumberFormat="1" applyFont="1" applyAlignment="1">
      <alignment/>
    </xf>
    <xf numFmtId="167" fontId="0" fillId="0" borderId="0" xfId="0" applyNumberFormat="1" applyFont="1" applyAlignment="1" quotePrefix="1">
      <alignment horizontal="right"/>
    </xf>
    <xf numFmtId="166" fontId="0" fillId="0" borderId="0" xfId="0" applyNumberFormat="1" applyFont="1" applyAlignment="1" quotePrefix="1">
      <alignment horizontal="right"/>
    </xf>
    <xf numFmtId="0" fontId="70" fillId="0" borderId="0" xfId="80">
      <alignment/>
      <protection/>
    </xf>
    <xf numFmtId="0" fontId="70" fillId="36" borderId="14" xfId="80" applyFill="1" applyBorder="1" applyAlignment="1">
      <alignment horizontal="right"/>
      <protection/>
    </xf>
    <xf numFmtId="0" fontId="70" fillId="36" borderId="14" xfId="80" applyFill="1" applyBorder="1" applyAlignment="1">
      <alignment horizontal="left"/>
      <protection/>
    </xf>
    <xf numFmtId="0" fontId="70" fillId="0" borderId="0" xfId="80" applyAlignment="1">
      <alignment horizontal="center" vertical="center"/>
      <protection/>
    </xf>
    <xf numFmtId="0" fontId="70" fillId="0" borderId="0" xfId="80" applyAlignment="1">
      <alignment horizontal="left"/>
      <protection/>
    </xf>
    <xf numFmtId="0" fontId="70" fillId="34" borderId="15" xfId="80" applyFill="1" applyBorder="1">
      <alignment/>
      <protection/>
    </xf>
    <xf numFmtId="0" fontId="83" fillId="37" borderId="16" xfId="80" applyFont="1" applyFill="1" applyBorder="1" applyAlignment="1">
      <alignment horizontal="centerContinuous"/>
      <protection/>
    </xf>
    <xf numFmtId="0" fontId="83" fillId="37" borderId="16" xfId="80" applyFont="1" applyFill="1" applyBorder="1">
      <alignment/>
      <protection/>
    </xf>
    <xf numFmtId="0" fontId="70" fillId="38" borderId="17" xfId="80" applyFill="1" applyBorder="1">
      <alignment/>
      <protection/>
    </xf>
    <xf numFmtId="0" fontId="83" fillId="37" borderId="14" xfId="80" applyFont="1" applyFill="1" applyBorder="1" applyAlignment="1">
      <alignment horizontal="center"/>
      <protection/>
    </xf>
    <xf numFmtId="0" fontId="70" fillId="34" borderId="18" xfId="80" applyFill="1" applyBorder="1" applyAlignment="1">
      <alignment vertical="center" textRotation="90"/>
      <protection/>
    </xf>
    <xf numFmtId="0" fontId="70" fillId="34" borderId="0" xfId="80" applyFill="1">
      <alignment/>
      <protection/>
    </xf>
    <xf numFmtId="0" fontId="70" fillId="5" borderId="0" xfId="80" applyFill="1" applyAlignment="1">
      <alignment horizontal="center" vertical="center"/>
      <protection/>
    </xf>
    <xf numFmtId="0" fontId="70" fillId="0" borderId="19" xfId="80" applyBorder="1">
      <alignment/>
      <protection/>
    </xf>
    <xf numFmtId="0" fontId="70" fillId="34" borderId="14" xfId="80" applyFill="1" applyBorder="1">
      <alignment/>
      <protection/>
    </xf>
    <xf numFmtId="174" fontId="70" fillId="39" borderId="14" xfId="80" applyNumberFormat="1" applyFill="1" applyBorder="1">
      <alignment/>
      <protection/>
    </xf>
    <xf numFmtId="0" fontId="70" fillId="39" borderId="14" xfId="80" applyFill="1" applyBorder="1" applyAlignment="1">
      <alignment horizontal="right"/>
      <protection/>
    </xf>
    <xf numFmtId="0" fontId="70" fillId="34" borderId="20" xfId="80" applyFill="1" applyBorder="1" applyAlignment="1">
      <alignment vertical="center" textRotation="90"/>
      <protection/>
    </xf>
    <xf numFmtId="0" fontId="70" fillId="34" borderId="21" xfId="80" applyFill="1" applyBorder="1">
      <alignment/>
      <protection/>
    </xf>
    <xf numFmtId="0" fontId="70" fillId="5" borderId="21" xfId="80" applyFill="1" applyBorder="1" applyAlignment="1">
      <alignment horizontal="center" vertical="center"/>
      <protection/>
    </xf>
    <xf numFmtId="0" fontId="70" fillId="0" borderId="21" xfId="80" applyBorder="1" applyAlignment="1">
      <alignment horizontal="left"/>
      <protection/>
    </xf>
    <xf numFmtId="0" fontId="70" fillId="0" borderId="21" xfId="80" applyBorder="1">
      <alignment/>
      <protection/>
    </xf>
    <xf numFmtId="0" fontId="70" fillId="0" borderId="22" xfId="80" applyBorder="1">
      <alignment/>
      <protection/>
    </xf>
    <xf numFmtId="0" fontId="70" fillId="34" borderId="23" xfId="80" applyFill="1" applyBorder="1">
      <alignment/>
      <protection/>
    </xf>
    <xf numFmtId="0" fontId="70" fillId="5" borderId="24" xfId="80" applyFill="1" applyBorder="1" applyAlignment="1">
      <alignment horizontal="left" vertical="center"/>
      <protection/>
    </xf>
    <xf numFmtId="0" fontId="70" fillId="0" borderId="24" xfId="80" applyBorder="1" applyAlignment="1">
      <alignment horizontal="left"/>
      <protection/>
    </xf>
    <xf numFmtId="0" fontId="70" fillId="0" borderId="25" xfId="80" applyBorder="1" applyAlignment="1">
      <alignment horizontal="left"/>
      <protection/>
    </xf>
    <xf numFmtId="0" fontId="70" fillId="0" borderId="26" xfId="80" applyBorder="1">
      <alignment/>
      <protection/>
    </xf>
    <xf numFmtId="0" fontId="70" fillId="34" borderId="27" xfId="80" applyFill="1" applyBorder="1">
      <alignment/>
      <protection/>
    </xf>
    <xf numFmtId="0" fontId="70" fillId="5" borderId="28" xfId="80" applyFill="1" applyBorder="1" applyAlignment="1">
      <alignment horizontal="left" vertical="center"/>
      <protection/>
    </xf>
    <xf numFmtId="0" fontId="70" fillId="39" borderId="28" xfId="80" applyFill="1" applyBorder="1" applyAlignment="1">
      <alignment horizontal="left"/>
      <protection/>
    </xf>
    <xf numFmtId="0" fontId="70" fillId="0" borderId="28" xfId="80" applyBorder="1" applyAlignment="1">
      <alignment horizontal="left"/>
      <protection/>
    </xf>
    <xf numFmtId="0" fontId="70" fillId="0" borderId="29" xfId="80" applyBorder="1" applyAlignment="1">
      <alignment horizontal="left"/>
      <protection/>
    </xf>
    <xf numFmtId="0" fontId="70" fillId="0" borderId="30" xfId="80" applyBorder="1">
      <alignment/>
      <protection/>
    </xf>
    <xf numFmtId="0" fontId="70" fillId="34" borderId="31" xfId="80" applyFill="1" applyBorder="1">
      <alignment/>
      <protection/>
    </xf>
    <xf numFmtId="0" fontId="70" fillId="5" borderId="32" xfId="80" applyFill="1" applyBorder="1" applyAlignment="1">
      <alignment horizontal="left" vertical="center"/>
      <protection/>
    </xf>
    <xf numFmtId="0" fontId="70" fillId="39" borderId="32" xfId="80" applyFill="1" applyBorder="1" applyAlignment="1">
      <alignment horizontal="left"/>
      <protection/>
    </xf>
    <xf numFmtId="0" fontId="70" fillId="0" borderId="32" xfId="80" applyBorder="1" applyAlignment="1">
      <alignment horizontal="left"/>
      <protection/>
    </xf>
    <xf numFmtId="0" fontId="70" fillId="0" borderId="33" xfId="80" applyBorder="1" applyAlignment="1">
      <alignment horizontal="left"/>
      <protection/>
    </xf>
    <xf numFmtId="0" fontId="70" fillId="0" borderId="34" xfId="80" applyBorder="1">
      <alignment/>
      <protection/>
    </xf>
    <xf numFmtId="0" fontId="70" fillId="34" borderId="35" xfId="80" applyFill="1" applyBorder="1">
      <alignment/>
      <protection/>
    </xf>
    <xf numFmtId="0" fontId="70" fillId="5" borderId="36" xfId="80" applyFill="1" applyBorder="1" applyAlignment="1">
      <alignment horizontal="left" vertical="center"/>
      <protection/>
    </xf>
    <xf numFmtId="0" fontId="70" fillId="0" borderId="36" xfId="80" applyBorder="1" applyAlignment="1" quotePrefix="1">
      <alignment horizontal="left"/>
      <protection/>
    </xf>
    <xf numFmtId="0" fontId="70" fillId="0" borderId="36" xfId="80" applyBorder="1" applyAlignment="1">
      <alignment horizontal="left"/>
      <protection/>
    </xf>
    <xf numFmtId="0" fontId="70" fillId="0" borderId="37" xfId="80" applyBorder="1" applyAlignment="1">
      <alignment horizontal="left"/>
      <protection/>
    </xf>
    <xf numFmtId="0" fontId="70" fillId="0" borderId="38" xfId="80" applyBorder="1">
      <alignment/>
      <protection/>
    </xf>
    <xf numFmtId="14" fontId="70" fillId="5" borderId="28" xfId="80" applyNumberFormat="1" applyFill="1" applyBorder="1" applyAlignment="1">
      <alignment horizontal="left" vertical="center"/>
      <protection/>
    </xf>
    <xf numFmtId="14" fontId="70" fillId="39" borderId="28" xfId="80" applyNumberFormat="1" applyFill="1" applyBorder="1" applyAlignment="1">
      <alignment horizontal="left"/>
      <protection/>
    </xf>
    <xf numFmtId="0" fontId="70" fillId="34" borderId="39" xfId="80" applyFill="1" applyBorder="1">
      <alignment/>
      <protection/>
    </xf>
    <xf numFmtId="0" fontId="70" fillId="39" borderId="39" xfId="80" applyFill="1" applyBorder="1">
      <alignment/>
      <protection/>
    </xf>
    <xf numFmtId="0" fontId="70" fillId="39" borderId="36" xfId="80" applyFill="1" applyBorder="1" applyAlignment="1">
      <alignment horizontal="left"/>
      <protection/>
    </xf>
    <xf numFmtId="0" fontId="70" fillId="38" borderId="39" xfId="80" applyFill="1" applyBorder="1" applyAlignment="1">
      <alignment horizontal="right"/>
      <protection/>
    </xf>
    <xf numFmtId="0" fontId="70" fillId="40" borderId="39" xfId="80" applyFill="1" applyBorder="1" applyAlignment="1">
      <alignment horizontal="right"/>
      <protection/>
    </xf>
    <xf numFmtId="0" fontId="70" fillId="39" borderId="39" xfId="80" applyFill="1" applyBorder="1" applyAlignment="1">
      <alignment horizontal="right"/>
      <protection/>
    </xf>
    <xf numFmtId="0" fontId="70" fillId="34" borderId="40" xfId="80" applyFill="1" applyBorder="1">
      <alignment/>
      <protection/>
    </xf>
    <xf numFmtId="0" fontId="70" fillId="5" borderId="41" xfId="80" applyFill="1" applyBorder="1" applyAlignment="1">
      <alignment horizontal="left" vertical="center"/>
      <protection/>
    </xf>
    <xf numFmtId="0" fontId="70" fillId="39" borderId="41" xfId="80" applyFill="1" applyBorder="1" applyAlignment="1">
      <alignment horizontal="left"/>
      <protection/>
    </xf>
    <xf numFmtId="0" fontId="70" fillId="39" borderId="42" xfId="80" applyFill="1" applyBorder="1" applyAlignment="1">
      <alignment horizontal="left"/>
      <protection/>
    </xf>
    <xf numFmtId="0" fontId="70" fillId="0" borderId="43" xfId="80" applyBorder="1">
      <alignment/>
      <protection/>
    </xf>
    <xf numFmtId="49" fontId="70" fillId="38" borderId="39" xfId="80" applyNumberFormat="1" applyFill="1" applyBorder="1" applyAlignment="1">
      <alignment horizontal="right"/>
      <protection/>
    </xf>
    <xf numFmtId="49" fontId="70" fillId="40" borderId="39" xfId="80" applyNumberFormat="1" applyFill="1" applyBorder="1" applyAlignment="1">
      <alignment horizontal="right"/>
      <protection/>
    </xf>
    <xf numFmtId="0" fontId="70" fillId="39" borderId="29" xfId="80" applyFill="1" applyBorder="1" applyAlignment="1">
      <alignment horizontal="left"/>
      <protection/>
    </xf>
    <xf numFmtId="0" fontId="70" fillId="0" borderId="44" xfId="80" applyBorder="1">
      <alignment/>
      <protection/>
    </xf>
    <xf numFmtId="14" fontId="70" fillId="38" borderId="39" xfId="80" applyNumberFormat="1" applyFill="1" applyBorder="1" applyAlignment="1">
      <alignment horizontal="right"/>
      <protection/>
    </xf>
    <xf numFmtId="14" fontId="70" fillId="40" borderId="39" xfId="80" applyNumberFormat="1" applyFill="1" applyBorder="1" applyAlignment="1">
      <alignment horizontal="right"/>
      <protection/>
    </xf>
    <xf numFmtId="14" fontId="70" fillId="39" borderId="39" xfId="80" applyNumberFormat="1" applyFill="1" applyBorder="1" applyAlignment="1">
      <alignment horizontal="right"/>
      <protection/>
    </xf>
    <xf numFmtId="0" fontId="70" fillId="39" borderId="33" xfId="80" applyFill="1" applyBorder="1" applyAlignment="1">
      <alignment horizontal="left"/>
      <protection/>
    </xf>
    <xf numFmtId="0" fontId="70" fillId="0" borderId="45" xfId="80" applyBorder="1">
      <alignment/>
      <protection/>
    </xf>
    <xf numFmtId="0" fontId="70" fillId="39" borderId="36" xfId="80" applyFill="1" applyBorder="1" applyAlignment="1" quotePrefix="1">
      <alignment horizontal="left"/>
      <protection/>
    </xf>
    <xf numFmtId="0" fontId="70" fillId="39" borderId="37" xfId="80" applyFill="1" applyBorder="1" applyAlignment="1">
      <alignment horizontal="left"/>
      <protection/>
    </xf>
    <xf numFmtId="0" fontId="70" fillId="0" borderId="46" xfId="80" applyBorder="1">
      <alignment/>
      <protection/>
    </xf>
    <xf numFmtId="0" fontId="70" fillId="0" borderId="0" xfId="80" applyAlignment="1">
      <alignment horizontal="right"/>
      <protection/>
    </xf>
    <xf numFmtId="0" fontId="70" fillId="34" borderId="47" xfId="80" applyFill="1" applyBorder="1">
      <alignment/>
      <protection/>
    </xf>
    <xf numFmtId="0" fontId="70" fillId="5" borderId="48" xfId="80" applyFill="1" applyBorder="1" applyAlignment="1">
      <alignment horizontal="left" vertical="center"/>
      <protection/>
    </xf>
    <xf numFmtId="0" fontId="70" fillId="39" borderId="48" xfId="80" applyFill="1" applyBorder="1" applyAlignment="1">
      <alignment horizontal="left"/>
      <protection/>
    </xf>
    <xf numFmtId="0" fontId="70" fillId="39" borderId="49" xfId="80" applyFill="1" applyBorder="1" applyAlignment="1">
      <alignment horizontal="left"/>
      <protection/>
    </xf>
    <xf numFmtId="0" fontId="70" fillId="0" borderId="50" xfId="80" applyBorder="1">
      <alignment/>
      <protection/>
    </xf>
    <xf numFmtId="0" fontId="70" fillId="5" borderId="0" xfId="80" applyFill="1">
      <alignment/>
      <protection/>
    </xf>
    <xf numFmtId="0" fontId="70" fillId="34" borderId="51" xfId="80" applyFill="1" applyBorder="1">
      <alignment/>
      <protection/>
    </xf>
    <xf numFmtId="0" fontId="70" fillId="5" borderId="52" xfId="80" applyFill="1" applyBorder="1" applyAlignment="1">
      <alignment horizontal="left" vertical="center"/>
      <protection/>
    </xf>
    <xf numFmtId="0" fontId="70" fillId="0" borderId="52" xfId="80" applyBorder="1" applyAlignment="1">
      <alignment horizontal="left"/>
      <protection/>
    </xf>
    <xf numFmtId="0" fontId="70" fillId="39" borderId="52" xfId="80" applyFill="1" applyBorder="1" applyAlignment="1">
      <alignment horizontal="left"/>
      <protection/>
    </xf>
    <xf numFmtId="0" fontId="70" fillId="39" borderId="53" xfId="80" applyFill="1" applyBorder="1" applyAlignment="1">
      <alignment horizontal="left"/>
      <protection/>
    </xf>
    <xf numFmtId="0" fontId="70" fillId="0" borderId="54" xfId="80" applyBorder="1">
      <alignment/>
      <protection/>
    </xf>
    <xf numFmtId="0" fontId="70" fillId="0" borderId="55" xfId="80" applyBorder="1">
      <alignment/>
      <protection/>
    </xf>
    <xf numFmtId="0" fontId="70" fillId="0" borderId="56" xfId="80" applyBorder="1">
      <alignment/>
      <protection/>
    </xf>
    <xf numFmtId="0" fontId="70" fillId="0" borderId="57" xfId="80" applyBorder="1">
      <alignment/>
      <protection/>
    </xf>
    <xf numFmtId="0" fontId="70" fillId="34" borderId="58" xfId="80" applyFill="1" applyBorder="1">
      <alignment/>
      <protection/>
    </xf>
    <xf numFmtId="0" fontId="70" fillId="5" borderId="59" xfId="80" applyFill="1" applyBorder="1" applyAlignment="1">
      <alignment horizontal="left" vertical="center"/>
      <protection/>
    </xf>
    <xf numFmtId="0" fontId="70" fillId="0" borderId="59" xfId="80" applyBorder="1" applyAlignment="1">
      <alignment horizontal="left"/>
      <protection/>
    </xf>
    <xf numFmtId="0" fontId="70" fillId="39" borderId="59" xfId="80" applyFill="1" applyBorder="1" applyAlignment="1">
      <alignment horizontal="left"/>
      <protection/>
    </xf>
    <xf numFmtId="0" fontId="70" fillId="39" borderId="60" xfId="80" applyFill="1" applyBorder="1" applyAlignment="1">
      <alignment horizontal="left"/>
      <protection/>
    </xf>
    <xf numFmtId="0" fontId="70" fillId="0" borderId="61" xfId="80" applyBorder="1">
      <alignment/>
      <protection/>
    </xf>
    <xf numFmtId="16" fontId="70" fillId="0" borderId="36" xfId="80" applyNumberFormat="1" applyBorder="1" applyAlignment="1" quotePrefix="1">
      <alignment horizontal="left"/>
      <protection/>
    </xf>
    <xf numFmtId="0" fontId="70" fillId="41" borderId="36" xfId="80" applyFill="1" applyBorder="1" applyAlignment="1">
      <alignment horizontal="left"/>
      <protection/>
    </xf>
    <xf numFmtId="0" fontId="0" fillId="0" borderId="0" xfId="0" applyFont="1" applyAlignment="1">
      <alignment vertical="center" wrapText="1"/>
    </xf>
    <xf numFmtId="0" fontId="77" fillId="36" borderId="0" xfId="0" applyFont="1" applyFill="1" applyAlignment="1">
      <alignment/>
    </xf>
    <xf numFmtId="0" fontId="84" fillId="35" borderId="0" xfId="0" applyFont="1" applyFill="1" applyAlignment="1">
      <alignment wrapText="1"/>
    </xf>
    <xf numFmtId="0" fontId="84" fillId="36" borderId="0" xfId="0" applyFont="1" applyFill="1" applyAlignment="1">
      <alignment wrapText="1"/>
    </xf>
    <xf numFmtId="0" fontId="79" fillId="36" borderId="0" xfId="60" applyFont="1" applyFill="1">
      <alignment/>
      <protection/>
    </xf>
    <xf numFmtId="0" fontId="2" fillId="0" borderId="10" xfId="0" applyFont="1" applyBorder="1" applyAlignment="1" quotePrefix="1">
      <alignment wrapText="1"/>
    </xf>
    <xf numFmtId="0" fontId="84" fillId="0" borderId="0" xfId="0" applyFont="1" applyAlignment="1">
      <alignment wrapText="1"/>
    </xf>
    <xf numFmtId="49" fontId="0" fillId="0" borderId="0" xfId="0" applyNumberFormat="1" applyFont="1" applyAlignment="1">
      <alignment wrapText="1"/>
    </xf>
    <xf numFmtId="3" fontId="2" fillId="0" borderId="0" xfId="0" applyNumberFormat="1" applyFont="1" applyAlignment="1">
      <alignment horizontal="right"/>
    </xf>
    <xf numFmtId="3" fontId="40" fillId="0" borderId="0" xfId="0" applyNumberFormat="1" applyFont="1" applyAlignment="1">
      <alignment/>
    </xf>
    <xf numFmtId="2" fontId="0" fillId="0" borderId="0" xfId="0" applyNumberFormat="1" applyFont="1" applyAlignment="1" quotePrefix="1">
      <alignment horizontal="right"/>
    </xf>
    <xf numFmtId="49" fontId="12" fillId="0" borderId="0" xfId="0" applyNumberFormat="1" applyFont="1" applyAlignment="1">
      <alignment/>
    </xf>
    <xf numFmtId="0" fontId="2" fillId="0" borderId="10" xfId="60" applyFont="1" applyBorder="1">
      <alignment/>
      <protection/>
    </xf>
    <xf numFmtId="3" fontId="0" fillId="0" borderId="10" xfId="0" applyNumberFormat="1" applyFont="1" applyBorder="1" applyAlignment="1">
      <alignment/>
    </xf>
    <xf numFmtId="167" fontId="0" fillId="0" borderId="0" xfId="92" applyNumberFormat="1" applyFont="1" applyAlignment="1">
      <alignment/>
    </xf>
    <xf numFmtId="166" fontId="2" fillId="0" borderId="0" xfId="0" applyNumberFormat="1" applyFont="1" applyAlignment="1">
      <alignment/>
    </xf>
    <xf numFmtId="3" fontId="27" fillId="0" borderId="0" xfId="0" applyNumberFormat="1" applyFont="1" applyAlignment="1">
      <alignment horizontal="right"/>
    </xf>
    <xf numFmtId="1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0" fontId="0" fillId="0" borderId="0" xfId="81">
      <alignment/>
      <protection/>
    </xf>
    <xf numFmtId="3" fontId="11" fillId="0" borderId="0" xfId="0" applyNumberFormat="1" applyFont="1" applyAlignment="1">
      <alignment/>
    </xf>
    <xf numFmtId="3" fontId="27" fillId="0" borderId="0" xfId="88" applyNumberFormat="1" applyFont="1" applyAlignment="1">
      <alignment horizontal="right"/>
      <protection/>
    </xf>
    <xf numFmtId="3" fontId="2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0" fontId="28" fillId="0" borderId="0" xfId="0" applyFont="1" applyAlignment="1">
      <alignment/>
    </xf>
    <xf numFmtId="166" fontId="0" fillId="0" borderId="1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66" fontId="0" fillId="0" borderId="0" xfId="0" applyNumberFormat="1" applyFont="1" applyAlignment="1">
      <alignment horizontal="center" vertical="center"/>
    </xf>
    <xf numFmtId="166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 quotePrefix="1">
      <alignment horizontal="center" vertical="center"/>
    </xf>
    <xf numFmtId="3" fontId="0" fillId="42" borderId="0" xfId="0" applyNumberFormat="1" applyFont="1" applyFill="1" applyAlignment="1">
      <alignment/>
    </xf>
    <xf numFmtId="3" fontId="0" fillId="42" borderId="0" xfId="0" applyNumberFormat="1" applyFont="1" applyFill="1" applyAlignment="1">
      <alignment/>
    </xf>
    <xf numFmtId="0" fontId="85" fillId="0" borderId="0" xfId="0" applyFont="1" applyAlignment="1">
      <alignment/>
    </xf>
    <xf numFmtId="0" fontId="0" fillId="0" borderId="0" xfId="0" applyFont="1" applyAlignment="1" quotePrefix="1">
      <alignment/>
    </xf>
    <xf numFmtId="4" fontId="0" fillId="0" borderId="0" xfId="0" applyNumberFormat="1" applyFont="1" applyAlignment="1" quotePrefix="1">
      <alignment horizontal="right"/>
    </xf>
    <xf numFmtId="3" fontId="0" fillId="0" borderId="6" xfId="71" applyNumberFormat="1" applyBorder="1" applyAlignment="1" applyProtection="1" quotePrefix="1">
      <alignment horizontal="right" wrapText="1"/>
      <protection locked="0"/>
    </xf>
    <xf numFmtId="3" fontId="0" fillId="0" borderId="6" xfId="71" applyNumberFormat="1" applyBorder="1" applyAlignment="1" applyProtection="1">
      <alignment horizontal="right" wrapText="1"/>
      <protection locked="0"/>
    </xf>
    <xf numFmtId="167" fontId="2" fillId="0" borderId="0" xfId="0" applyNumberFormat="1" applyFont="1" applyAlignment="1">
      <alignment/>
    </xf>
    <xf numFmtId="0" fontId="0" fillId="0" borderId="0" xfId="0" applyAlignment="1">
      <alignment horizontal="left" indent="2"/>
    </xf>
    <xf numFmtId="0" fontId="70" fillId="34" borderId="62" xfId="80" applyFill="1" applyBorder="1" applyAlignment="1">
      <alignment horizontal="center" vertical="center" textRotation="90"/>
      <protection/>
    </xf>
    <xf numFmtId="0" fontId="70" fillId="34" borderId="63" xfId="80" applyFill="1" applyBorder="1" applyAlignment="1">
      <alignment horizontal="center" vertical="center" textRotation="90"/>
      <protection/>
    </xf>
    <xf numFmtId="0" fontId="70" fillId="34" borderId="64" xfId="80" applyFill="1" applyBorder="1" applyAlignment="1">
      <alignment horizontal="center" vertical="center" textRotation="90"/>
      <protection/>
    </xf>
    <xf numFmtId="0" fontId="70" fillId="34" borderId="65" xfId="80" applyFill="1" applyBorder="1" applyAlignment="1">
      <alignment horizontal="center" vertical="center" textRotation="90"/>
      <protection/>
    </xf>
    <xf numFmtId="0" fontId="70" fillId="34" borderId="66" xfId="80" applyFill="1" applyBorder="1" applyAlignment="1">
      <alignment horizontal="center" vertical="center" textRotation="90"/>
      <protection/>
    </xf>
    <xf numFmtId="0" fontId="70" fillId="34" borderId="67" xfId="80" applyFill="1" applyBorder="1" applyAlignment="1">
      <alignment horizontal="center" vertical="center" textRotation="90"/>
      <protection/>
    </xf>
    <xf numFmtId="0" fontId="86" fillId="17" borderId="15" xfId="80" applyFont="1" applyFill="1" applyBorder="1" applyAlignment="1">
      <alignment horizontal="center" vertical="center" wrapText="1"/>
      <protection/>
    </xf>
    <xf numFmtId="0" fontId="86" fillId="17" borderId="20" xfId="80" applyFont="1" applyFill="1" applyBorder="1" applyAlignment="1">
      <alignment horizontal="center" vertical="center" wrapText="1"/>
      <protection/>
    </xf>
    <xf numFmtId="0" fontId="86" fillId="17" borderId="17" xfId="80" applyFont="1" applyFill="1" applyBorder="1" applyAlignment="1">
      <alignment horizontal="center" vertical="center" wrapText="1"/>
      <protection/>
    </xf>
    <xf numFmtId="0" fontId="86" fillId="17" borderId="22" xfId="80" applyFont="1" applyFill="1" applyBorder="1" applyAlignment="1">
      <alignment horizontal="center" vertical="center" wrapText="1"/>
      <protection/>
    </xf>
    <xf numFmtId="0" fontId="70" fillId="34" borderId="68" xfId="80" applyFill="1" applyBorder="1" applyAlignment="1">
      <alignment horizontal="center" vertical="center" textRotation="90"/>
      <protection/>
    </xf>
    <xf numFmtId="0" fontId="70" fillId="34" borderId="69" xfId="80" applyFill="1" applyBorder="1" applyAlignment="1">
      <alignment horizontal="center" vertical="center" textRotation="90"/>
      <protection/>
    </xf>
    <xf numFmtId="0" fontId="70" fillId="34" borderId="70" xfId="80" applyFill="1" applyBorder="1" applyAlignment="1">
      <alignment horizontal="center" vertical="center" textRotation="90"/>
      <protection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Good" xfId="49"/>
    <cellStyle name="Grey" xfId="50"/>
    <cellStyle name="Heading 1" xfId="51"/>
    <cellStyle name="Heading 2" xfId="52"/>
    <cellStyle name="Heading 3" xfId="53"/>
    <cellStyle name="Heading 4" xfId="54"/>
    <cellStyle name="Input" xfId="55"/>
    <cellStyle name="Input [yellow]" xfId="56"/>
    <cellStyle name="Linked Cell" xfId="57"/>
    <cellStyle name="Neutral" xfId="58"/>
    <cellStyle name="Normal - Style1" xfId="59"/>
    <cellStyle name="Normal 10" xfId="60"/>
    <cellStyle name="Normal 11" xfId="61"/>
    <cellStyle name="Normal 12" xfId="62"/>
    <cellStyle name="Normal 13" xfId="63"/>
    <cellStyle name="Normal 14" xfId="64"/>
    <cellStyle name="Normal 15" xfId="65"/>
    <cellStyle name="Normal 16" xfId="66"/>
    <cellStyle name="Normal 17" xfId="67"/>
    <cellStyle name="Normal 18" xfId="68"/>
    <cellStyle name="Normal 19" xfId="69"/>
    <cellStyle name="Normal 2" xfId="70"/>
    <cellStyle name="Normal 2 3" xfId="71"/>
    <cellStyle name="Normal 2_Business_areas-Q" xfId="72"/>
    <cellStyle name="Normal 20" xfId="73"/>
    <cellStyle name="Normal 21" xfId="74"/>
    <cellStyle name="Normal 22" xfId="75"/>
    <cellStyle name="Normal 23" xfId="76"/>
    <cellStyle name="Normal 24" xfId="77"/>
    <cellStyle name="Normal 25" xfId="78"/>
    <cellStyle name="Normal 26" xfId="79"/>
    <cellStyle name="Normal 27" xfId="80"/>
    <cellStyle name="Normal 3" xfId="81"/>
    <cellStyle name="Normal 4" xfId="82"/>
    <cellStyle name="Normal 5" xfId="83"/>
    <cellStyle name="Normal 6" xfId="84"/>
    <cellStyle name="Normal 7" xfId="85"/>
    <cellStyle name="Normal 8" xfId="86"/>
    <cellStyle name="Normal 9" xfId="87"/>
    <cellStyle name="Normal_Net_sales_by_country-Y" xfId="88"/>
    <cellStyle name="Normalblå" xfId="89"/>
    <cellStyle name="Note" xfId="90"/>
    <cellStyle name="Output" xfId="91"/>
    <cellStyle name="Percent" xfId="92"/>
    <cellStyle name="Percent [2]" xfId="93"/>
    <cellStyle name="Percent 10" xfId="94"/>
    <cellStyle name="Percent 11" xfId="95"/>
    <cellStyle name="Percent 12" xfId="96"/>
    <cellStyle name="Percent 13" xfId="97"/>
    <cellStyle name="Percent 2" xfId="98"/>
    <cellStyle name="Percent 3" xfId="99"/>
    <cellStyle name="Percent 4" xfId="100"/>
    <cellStyle name="Percent 5" xfId="101"/>
    <cellStyle name="Percent 6" xfId="102"/>
    <cellStyle name="Percent 7" xfId="103"/>
    <cellStyle name="Percent 8" xfId="104"/>
    <cellStyle name="Percent 9" xfId="105"/>
    <cellStyle name="Percentblå" xfId="106"/>
    <cellStyle name="QR_Period_val" xfId="107"/>
    <cellStyle name="Rubrik" xfId="108"/>
    <cellStyle name="t" xfId="109"/>
    <cellStyle name="TblEnDecimal" xfId="110"/>
    <cellStyle name="TblPostLinje" xfId="111"/>
    <cellStyle name="TblUnderrubrik" xfId="112"/>
    <cellStyle name="Times New Roman" xfId="113"/>
    <cellStyle name="Title" xfId="114"/>
    <cellStyle name="Total" xfId="115"/>
    <cellStyle name="Warning Text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19050</xdr:rowOff>
    </xdr:from>
    <xdr:to>
      <xdr:col>11</xdr:col>
      <xdr:colOff>0</xdr:colOff>
      <xdr:row>15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58575" y="1047750"/>
          <a:ext cx="3657600" cy="1457325"/>
        </a:xfrm>
        <a:prstGeom prst="rect">
          <a:avLst/>
        </a:prstGeom>
        <a:solidFill>
          <a:srgbClr val="D9D9D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As of Q4 2019, Electrolux professional is reported as discontinued operations, following the decision by the Board to propose a distribution of the shares. For 2018 and 2019, the financials refer to the consumer business, ‘continuing operations’, exclusive of Electrolux Professional, unless otherwise stated. For more information, see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https://www.electroluxgroup.com/en/accounting-principles-22991/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GA\Strictly%20Confidential\C-E\2.%20External%20reports\Annual%20Report\2015\Antal%20anst&#228;llda%20med%20k&#246;nsf&#246;rdelning%202006%20-%202015%20(2016-01-27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GA\Strictly%20Confidential\C-E\2.%20External%20reports\Annual%20Report\2016\Antal%20anst&#228;llda%20med%20k&#246;nsf&#246;rdelning%202006%20-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5 M &amp; F Empl per country"/>
      <sheetName val="2015 M&amp;F split"/>
      <sheetName val="FTE 2015"/>
      <sheetName val="2014 M &amp; F Empl per country"/>
      <sheetName val="2014 M&amp;F split"/>
      <sheetName val="FTE 2014"/>
      <sheetName val="2013 M&amp;F split"/>
      <sheetName val="2013 M &amp; F Empl per country"/>
      <sheetName val="Empl per country Sum"/>
      <sheetName val="Empl per country 2012"/>
      <sheetName val="db_2012"/>
      <sheetName val="Empl per country 2011"/>
      <sheetName val="db_2011"/>
      <sheetName val="Empl per country 2010"/>
      <sheetName val="Empl per country 2009"/>
      <sheetName val="Empl per country 2008"/>
      <sheetName val="Empl per country 2007"/>
      <sheetName val="Empl per country 2006"/>
      <sheetName val="Original data from Web"/>
      <sheetName val="db_2010"/>
      <sheetName val="db_2009"/>
      <sheetName val="db_2008"/>
      <sheetName val="db_2007"/>
      <sheetName val="db_2006"/>
      <sheetName val="tables"/>
    </sheetNames>
    <sheetDataSet>
      <sheetData sheetId="2">
        <row r="6">
          <cell r="A6" t="str">
            <v>ARGENTINA</v>
          </cell>
          <cell r="B6">
            <v>1063</v>
          </cell>
        </row>
        <row r="7">
          <cell r="A7" t="str">
            <v>AUSTRALIA</v>
          </cell>
          <cell r="B7">
            <v>1320</v>
          </cell>
        </row>
        <row r="8">
          <cell r="A8" t="str">
            <v>AUSTRIA</v>
          </cell>
          <cell r="B8">
            <v>112</v>
          </cell>
        </row>
        <row r="9">
          <cell r="A9" t="str">
            <v>BELGIUM</v>
          </cell>
          <cell r="B9">
            <v>183</v>
          </cell>
        </row>
        <row r="10">
          <cell r="A10" t="str">
            <v>BRAZIL</v>
          </cell>
          <cell r="B10">
            <v>8683</v>
          </cell>
        </row>
        <row r="11">
          <cell r="A11" t="str">
            <v>CANADA</v>
          </cell>
          <cell r="B11">
            <v>232</v>
          </cell>
        </row>
        <row r="12">
          <cell r="A12" t="str">
            <v>CHILE</v>
          </cell>
          <cell r="B12">
            <v>2279</v>
          </cell>
        </row>
        <row r="13">
          <cell r="A13" t="str">
            <v>CHINA</v>
          </cell>
          <cell r="B13">
            <v>1034</v>
          </cell>
        </row>
        <row r="14">
          <cell r="A14" t="str">
            <v>COLOMBIACOP</v>
          </cell>
          <cell r="B14">
            <v>243</v>
          </cell>
        </row>
        <row r="15">
          <cell r="A15" t="str">
            <v>CROATIA</v>
          </cell>
          <cell r="B15">
            <v>26</v>
          </cell>
        </row>
        <row r="16">
          <cell r="A16" t="str">
            <v>CZECHREPUBLIC</v>
          </cell>
          <cell r="B16">
            <v>41</v>
          </cell>
        </row>
        <row r="17">
          <cell r="A17" t="str">
            <v>DENMARK</v>
          </cell>
          <cell r="B17">
            <v>169</v>
          </cell>
        </row>
        <row r="18">
          <cell r="A18" t="str">
            <v>ECUADOR</v>
          </cell>
          <cell r="B18">
            <v>128</v>
          </cell>
        </row>
        <row r="19">
          <cell r="A19" t="str">
            <v>EGYPT</v>
          </cell>
          <cell r="B19">
            <v>4174</v>
          </cell>
        </row>
        <row r="20">
          <cell r="A20" t="str">
            <v>ESTONIA</v>
          </cell>
          <cell r="B20">
            <v>16</v>
          </cell>
        </row>
        <row r="21">
          <cell r="A21" t="str">
            <v>FINLAND</v>
          </cell>
          <cell r="B21">
            <v>115</v>
          </cell>
        </row>
        <row r="22">
          <cell r="A22" t="str">
            <v>FRANCE</v>
          </cell>
          <cell r="B22">
            <v>590</v>
          </cell>
        </row>
        <row r="23">
          <cell r="A23" t="str">
            <v>GERMANY</v>
          </cell>
          <cell r="B23">
            <v>1651</v>
          </cell>
        </row>
        <row r="24">
          <cell r="A24" t="str">
            <v>GREATBRITAIN</v>
          </cell>
          <cell r="B24">
            <v>402</v>
          </cell>
        </row>
        <row r="25">
          <cell r="A25" t="str">
            <v>GREECE</v>
          </cell>
          <cell r="B25">
            <v>44</v>
          </cell>
        </row>
        <row r="26">
          <cell r="A26" t="str">
            <v>HONGKONG</v>
          </cell>
          <cell r="B26">
            <v>22</v>
          </cell>
        </row>
        <row r="27">
          <cell r="A27" t="str">
            <v>HUNGARY</v>
          </cell>
          <cell r="B27">
            <v>2638</v>
          </cell>
        </row>
        <row r="28">
          <cell r="A28" t="str">
            <v>INDIA</v>
          </cell>
          <cell r="B28">
            <v>24</v>
          </cell>
        </row>
        <row r="29">
          <cell r="A29" t="str">
            <v>INDONESIA</v>
          </cell>
          <cell r="B29">
            <v>214</v>
          </cell>
        </row>
        <row r="30">
          <cell r="A30" t="str">
            <v>IRELAND</v>
          </cell>
          <cell r="B30">
            <v>20</v>
          </cell>
        </row>
        <row r="31">
          <cell r="A31" t="str">
            <v>ITALY</v>
          </cell>
          <cell r="B31">
            <v>5183</v>
          </cell>
        </row>
        <row r="32">
          <cell r="A32" t="str">
            <v>JAPAN</v>
          </cell>
          <cell r="B32">
            <v>143</v>
          </cell>
        </row>
        <row r="33">
          <cell r="A33" t="str">
            <v>LATVIA</v>
          </cell>
          <cell r="B33">
            <v>10</v>
          </cell>
        </row>
        <row r="34">
          <cell r="A34" t="str">
            <v>LITHUANIA</v>
          </cell>
          <cell r="B34">
            <v>14</v>
          </cell>
        </row>
        <row r="35">
          <cell r="A35" t="str">
            <v>LUXEMBOURG</v>
          </cell>
          <cell r="B35">
            <v>28</v>
          </cell>
        </row>
        <row r="36">
          <cell r="A36" t="str">
            <v>MALAYSIA</v>
          </cell>
          <cell r="B36">
            <v>201</v>
          </cell>
        </row>
        <row r="37">
          <cell r="A37" t="str">
            <v>MEXICO</v>
          </cell>
          <cell r="B37">
            <v>5710</v>
          </cell>
        </row>
        <row r="38">
          <cell r="A38" t="str">
            <v>NETHERLANDS</v>
          </cell>
          <cell r="B38">
            <v>244</v>
          </cell>
        </row>
        <row r="39">
          <cell r="A39" t="str">
            <v>NEWZEALAND</v>
          </cell>
          <cell r="B39">
            <v>49</v>
          </cell>
        </row>
        <row r="40">
          <cell r="A40" t="str">
            <v>NORWAY</v>
          </cell>
          <cell r="B40">
            <v>55</v>
          </cell>
        </row>
        <row r="41">
          <cell r="A41" t="str">
            <v>PERU</v>
          </cell>
          <cell r="B41">
            <v>212</v>
          </cell>
        </row>
        <row r="42">
          <cell r="A42" t="str">
            <v>PHILIPPINES</v>
          </cell>
          <cell r="B42">
            <v>64</v>
          </cell>
        </row>
        <row r="43">
          <cell r="A43" t="str">
            <v>POLAND</v>
          </cell>
          <cell r="B43">
            <v>4803</v>
          </cell>
        </row>
        <row r="44">
          <cell r="A44" t="str">
            <v>PORTUGAL</v>
          </cell>
          <cell r="B44">
            <v>29</v>
          </cell>
        </row>
        <row r="45">
          <cell r="A45" t="str">
            <v>ROMANIAROL</v>
          </cell>
          <cell r="B45">
            <v>775</v>
          </cell>
        </row>
        <row r="46">
          <cell r="A46" t="str">
            <v>RUSSIA</v>
          </cell>
          <cell r="B46">
            <v>134</v>
          </cell>
        </row>
        <row r="47">
          <cell r="A47" t="str">
            <v>SINGAPORE2</v>
          </cell>
          <cell r="B47">
            <v>214</v>
          </cell>
        </row>
        <row r="48">
          <cell r="A48" t="str">
            <v>SLOVAKIA</v>
          </cell>
          <cell r="B48">
            <v>46</v>
          </cell>
        </row>
        <row r="49">
          <cell r="A49" t="str">
            <v>SLOVENIA</v>
          </cell>
          <cell r="B49">
            <v>7</v>
          </cell>
        </row>
        <row r="50">
          <cell r="A50" t="str">
            <v>SOUTHAFRICA</v>
          </cell>
          <cell r="B50">
            <v>44</v>
          </cell>
        </row>
        <row r="51">
          <cell r="A51" t="str">
            <v>SOUTHKOREA</v>
          </cell>
          <cell r="B51">
            <v>53</v>
          </cell>
        </row>
        <row r="52">
          <cell r="A52" t="str">
            <v>SPAIN</v>
          </cell>
          <cell r="B52">
            <v>214</v>
          </cell>
        </row>
        <row r="53">
          <cell r="A53" t="str">
            <v>SWEDEN</v>
          </cell>
          <cell r="B53">
            <v>2027</v>
          </cell>
        </row>
        <row r="54">
          <cell r="A54" t="str">
            <v>SWITZERLAND</v>
          </cell>
          <cell r="B54">
            <v>694</v>
          </cell>
        </row>
        <row r="55">
          <cell r="A55" t="str">
            <v>TAIWAN</v>
          </cell>
          <cell r="B55">
            <v>37</v>
          </cell>
        </row>
        <row r="56">
          <cell r="A56" t="str">
            <v>THAILAND</v>
          </cell>
          <cell r="B56">
            <v>1748</v>
          </cell>
        </row>
        <row r="57">
          <cell r="A57" t="str">
            <v>TURKEYTRY</v>
          </cell>
          <cell r="B57">
            <v>65</v>
          </cell>
        </row>
        <row r="58">
          <cell r="A58" t="str">
            <v>UAE</v>
          </cell>
          <cell r="B58">
            <v>29</v>
          </cell>
        </row>
        <row r="59">
          <cell r="A59" t="str">
            <v>UKRAINE</v>
          </cell>
          <cell r="B59">
            <v>213</v>
          </cell>
        </row>
        <row r="60">
          <cell r="A60" t="str">
            <v>USA</v>
          </cell>
          <cell r="B60">
            <v>9701</v>
          </cell>
        </row>
        <row r="61">
          <cell r="A61" t="str">
            <v>VENEZUELA</v>
          </cell>
          <cell r="B61">
            <v>7</v>
          </cell>
        </row>
        <row r="62">
          <cell r="A62" t="str">
            <v>VIETNAM</v>
          </cell>
          <cell r="B62">
            <v>89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egal 2016"/>
      <sheetName val="2016 M &amp; F Empl per country"/>
      <sheetName val="2016 M&amp;F split"/>
      <sheetName val="FTE 2016 (&amp;2015)"/>
      <sheetName val="2015 M&amp;F split"/>
      <sheetName val="2015 M &amp; F Empl per country"/>
      <sheetName val="2014 &amp; 2015-to Legal"/>
      <sheetName val="2014 M &amp; F Empl per country"/>
      <sheetName val="2014 M&amp;F split"/>
      <sheetName val="FTE 2014"/>
      <sheetName val="2013 M&amp;F split"/>
      <sheetName val="2013 M &amp; F Empl per country"/>
      <sheetName val="Empl per country Sum"/>
      <sheetName val="Empl per country 2012"/>
      <sheetName val="db_2012"/>
      <sheetName val="Empl per country 2011"/>
      <sheetName val="db_2011"/>
      <sheetName val="Empl per country 2010"/>
      <sheetName val="Empl per country 2009"/>
      <sheetName val="Empl per country 2008"/>
      <sheetName val="Empl per country 2007"/>
      <sheetName val="Empl per country 2006"/>
      <sheetName val="Original data from Web"/>
      <sheetName val="db_2010"/>
      <sheetName val="db_2009"/>
      <sheetName val="db_2008"/>
      <sheetName val="db_2007"/>
      <sheetName val="db_2006"/>
      <sheetName val="tables"/>
    </sheetNames>
    <sheetDataSet>
      <sheetData sheetId="3">
        <row r="76">
          <cell r="A76" t="str">
            <v>ARGENTINA</v>
          </cell>
          <cell r="B76">
            <v>974</v>
          </cell>
        </row>
        <row r="77">
          <cell r="A77" t="str">
            <v>AUSTRALIA</v>
          </cell>
          <cell r="B77">
            <v>1085</v>
          </cell>
        </row>
        <row r="78">
          <cell r="A78" t="str">
            <v>AUSTRIA</v>
          </cell>
          <cell r="B78">
            <v>108</v>
          </cell>
        </row>
        <row r="79">
          <cell r="A79" t="str">
            <v>BELGIUM</v>
          </cell>
          <cell r="B79">
            <v>186</v>
          </cell>
        </row>
        <row r="80">
          <cell r="A80" t="str">
            <v>BRAZIL</v>
          </cell>
          <cell r="B80">
            <v>6996</v>
          </cell>
        </row>
        <row r="81">
          <cell r="A81" t="str">
            <v>CANADA</v>
          </cell>
          <cell r="B81">
            <v>203</v>
          </cell>
        </row>
        <row r="82">
          <cell r="A82" t="str">
            <v>CHILE</v>
          </cell>
          <cell r="B82">
            <v>2239</v>
          </cell>
        </row>
        <row r="83">
          <cell r="A83" t="str">
            <v>CHINA</v>
          </cell>
          <cell r="B83">
            <v>1006</v>
          </cell>
        </row>
        <row r="84">
          <cell r="A84" t="str">
            <v>COLOMBIACOP</v>
          </cell>
          <cell r="B84">
            <v>261</v>
          </cell>
        </row>
        <row r="85">
          <cell r="A85" t="str">
            <v>CROATIA</v>
          </cell>
          <cell r="B85">
            <v>28</v>
          </cell>
        </row>
        <row r="86">
          <cell r="A86" t="str">
            <v>CZECHREPUBLIC</v>
          </cell>
          <cell r="B86">
            <v>48</v>
          </cell>
        </row>
        <row r="87">
          <cell r="A87" t="str">
            <v>DENMARK</v>
          </cell>
          <cell r="B87">
            <v>166</v>
          </cell>
        </row>
        <row r="88">
          <cell r="A88" t="str">
            <v>ECUADOR</v>
          </cell>
          <cell r="B88">
            <v>95</v>
          </cell>
        </row>
        <row r="89">
          <cell r="A89" t="str">
            <v>EGYPT</v>
          </cell>
          <cell r="B89">
            <v>3218</v>
          </cell>
        </row>
        <row r="90">
          <cell r="A90" t="str">
            <v>ESTONIA</v>
          </cell>
          <cell r="B90">
            <v>14</v>
          </cell>
        </row>
        <row r="91">
          <cell r="A91" t="str">
            <v>FINLAND</v>
          </cell>
          <cell r="B91">
            <v>111</v>
          </cell>
        </row>
        <row r="92">
          <cell r="A92" t="str">
            <v>FRANCE</v>
          </cell>
          <cell r="B92">
            <v>585</v>
          </cell>
        </row>
        <row r="93">
          <cell r="A93" t="str">
            <v>GERMANY</v>
          </cell>
          <cell r="B93">
            <v>1686</v>
          </cell>
        </row>
        <row r="94">
          <cell r="A94" t="str">
            <v>GREATBRITAIN</v>
          </cell>
          <cell r="B94">
            <v>405</v>
          </cell>
        </row>
        <row r="95">
          <cell r="A95" t="str">
            <v>GREECE</v>
          </cell>
          <cell r="B95">
            <v>41</v>
          </cell>
        </row>
        <row r="96">
          <cell r="A96" t="str">
            <v>HONGKONG</v>
          </cell>
          <cell r="B96">
            <v>24</v>
          </cell>
        </row>
        <row r="97">
          <cell r="A97" t="str">
            <v>HUNGARY</v>
          </cell>
          <cell r="B97">
            <v>2746</v>
          </cell>
        </row>
        <row r="98">
          <cell r="A98" t="str">
            <v>INDIA</v>
          </cell>
          <cell r="B98">
            <v>23</v>
          </cell>
        </row>
        <row r="99">
          <cell r="A99" t="str">
            <v>INDONESIA</v>
          </cell>
          <cell r="B99">
            <v>107</v>
          </cell>
        </row>
        <row r="100">
          <cell r="A100" t="str">
            <v>IRELAND</v>
          </cell>
          <cell r="B100">
            <v>20</v>
          </cell>
        </row>
        <row r="101">
          <cell r="A101" t="str">
            <v>IRELAND2</v>
          </cell>
          <cell r="B101">
            <v>0</v>
          </cell>
        </row>
        <row r="102">
          <cell r="A102" t="str">
            <v>ITALY</v>
          </cell>
          <cell r="B102">
            <v>5181</v>
          </cell>
        </row>
        <row r="103">
          <cell r="A103" t="str">
            <v>JAPAN</v>
          </cell>
          <cell r="B103">
            <v>136</v>
          </cell>
        </row>
        <row r="104">
          <cell r="A104" t="str">
            <v>LATVIA</v>
          </cell>
          <cell r="B104">
            <v>10</v>
          </cell>
        </row>
        <row r="105">
          <cell r="A105" t="str">
            <v>LITHUANIA</v>
          </cell>
          <cell r="B105">
            <v>14</v>
          </cell>
        </row>
        <row r="106">
          <cell r="A106" t="str">
            <v>LUXEMBOURG</v>
          </cell>
          <cell r="B106">
            <v>28</v>
          </cell>
        </row>
        <row r="107">
          <cell r="A107" t="str">
            <v>MALAYSIA</v>
          </cell>
          <cell r="B107">
            <v>209</v>
          </cell>
        </row>
        <row r="108">
          <cell r="A108" t="str">
            <v>MEXICO</v>
          </cell>
          <cell r="B108">
            <v>5448</v>
          </cell>
        </row>
        <row r="109">
          <cell r="A109" t="str">
            <v>NETHERLANDS</v>
          </cell>
          <cell r="B109">
            <v>240</v>
          </cell>
        </row>
        <row r="110">
          <cell r="A110" t="str">
            <v>NEWZEALAND</v>
          </cell>
          <cell r="B110">
            <v>51</v>
          </cell>
        </row>
        <row r="111">
          <cell r="A111" t="str">
            <v>NORWAY</v>
          </cell>
          <cell r="B111">
            <v>56</v>
          </cell>
        </row>
        <row r="112">
          <cell r="A112" t="str">
            <v>PERU</v>
          </cell>
          <cell r="B112">
            <v>202</v>
          </cell>
        </row>
        <row r="113">
          <cell r="A113" t="str">
            <v>PHILIPPINES</v>
          </cell>
          <cell r="B113">
            <v>61</v>
          </cell>
        </row>
        <row r="114">
          <cell r="A114" t="str">
            <v>POLAND</v>
          </cell>
          <cell r="B114">
            <v>5036</v>
          </cell>
        </row>
        <row r="115">
          <cell r="A115" t="str">
            <v>PORTUGAL</v>
          </cell>
          <cell r="B115">
            <v>29</v>
          </cell>
        </row>
        <row r="116">
          <cell r="A116" t="str">
            <v>ROMANIA</v>
          </cell>
          <cell r="B116">
            <v>0</v>
          </cell>
        </row>
        <row r="117">
          <cell r="A117" t="str">
            <v>ROMANIAROL</v>
          </cell>
          <cell r="B117">
            <v>818</v>
          </cell>
        </row>
        <row r="118">
          <cell r="A118" t="str">
            <v>RUSSIA</v>
          </cell>
          <cell r="B118">
            <v>133</v>
          </cell>
        </row>
        <row r="119">
          <cell r="A119" t="str">
            <v>SINGAPORE2</v>
          </cell>
          <cell r="B119">
            <v>205</v>
          </cell>
        </row>
        <row r="120">
          <cell r="A120" t="str">
            <v>SLOVAKIA</v>
          </cell>
          <cell r="B120">
            <v>45</v>
          </cell>
        </row>
        <row r="121">
          <cell r="A121" t="str">
            <v>SLOVENIA</v>
          </cell>
          <cell r="B121">
            <v>4</v>
          </cell>
        </row>
        <row r="122">
          <cell r="A122" t="str">
            <v>SOUTHAFRICA</v>
          </cell>
          <cell r="B122">
            <v>37</v>
          </cell>
        </row>
        <row r="123">
          <cell r="A123" t="str">
            <v>SOUTHKOREA</v>
          </cell>
          <cell r="B123">
            <v>57</v>
          </cell>
        </row>
        <row r="124">
          <cell r="A124" t="str">
            <v>SPAIN</v>
          </cell>
          <cell r="B124">
            <v>214</v>
          </cell>
        </row>
        <row r="125">
          <cell r="A125" t="str">
            <v>SWEDEN</v>
          </cell>
          <cell r="B125">
            <v>2076</v>
          </cell>
        </row>
        <row r="126">
          <cell r="A126" t="str">
            <v>SWITZERLAND</v>
          </cell>
          <cell r="B126">
            <v>595</v>
          </cell>
        </row>
        <row r="127">
          <cell r="A127" t="str">
            <v>TAIWAN</v>
          </cell>
          <cell r="B127">
            <v>37</v>
          </cell>
        </row>
        <row r="128">
          <cell r="A128" t="str">
            <v>THAILAND</v>
          </cell>
          <cell r="B128">
            <v>1733</v>
          </cell>
        </row>
        <row r="129">
          <cell r="A129" t="str">
            <v>TURKEYTRY</v>
          </cell>
          <cell r="B129">
            <v>70</v>
          </cell>
        </row>
        <row r="130">
          <cell r="A130" t="str">
            <v>UAE</v>
          </cell>
          <cell r="B130">
            <v>44</v>
          </cell>
        </row>
        <row r="131">
          <cell r="A131" t="str">
            <v>UKRAINE</v>
          </cell>
          <cell r="B131">
            <v>298</v>
          </cell>
        </row>
        <row r="132">
          <cell r="A132" t="str">
            <v>URUGUAY2</v>
          </cell>
          <cell r="B132">
            <v>0</v>
          </cell>
        </row>
        <row r="133">
          <cell r="A133" t="str">
            <v>USA</v>
          </cell>
          <cell r="B133">
            <v>9861</v>
          </cell>
        </row>
        <row r="134">
          <cell r="A134" t="str">
            <v>VENEZUELA</v>
          </cell>
          <cell r="B134">
            <v>3</v>
          </cell>
        </row>
        <row r="135">
          <cell r="A135" t="str">
            <v>VIETNAM</v>
          </cell>
          <cell r="B135">
            <v>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C2:U191"/>
  <sheetViews>
    <sheetView showGridLines="0" zoomScalePageLayoutView="110" workbookViewId="0" topLeftCell="A1">
      <selection activeCell="F54" sqref="F54"/>
    </sheetView>
  </sheetViews>
  <sheetFormatPr defaultColWidth="6.28125" defaultRowHeight="12.75" outlineLevelCol="1"/>
  <cols>
    <col min="1" max="2" width="1.7109375" style="118" customWidth="1"/>
    <col min="3" max="3" width="15.28125" style="118" customWidth="1"/>
    <col min="4" max="5" width="9.28125" style="118" customWidth="1"/>
    <col min="6" max="6" width="11.28125" style="118" customWidth="1"/>
    <col min="7" max="7" width="4.7109375" style="118" customWidth="1"/>
    <col min="8" max="8" width="10.28125" style="118" customWidth="1"/>
    <col min="9" max="9" width="18.28125" style="118" customWidth="1"/>
    <col min="10" max="10" width="15.28125" style="118" customWidth="1"/>
    <col min="11" max="18" width="15.28125" style="118" customWidth="1" outlineLevel="1"/>
    <col min="19" max="19" width="7.7109375" style="118" customWidth="1"/>
    <col min="20" max="20" width="9.7109375" style="118" customWidth="1"/>
    <col min="21" max="21" width="15.00390625" style="118" customWidth="1"/>
    <col min="22" max="23" width="6.28125" style="118" customWidth="1"/>
    <col min="24" max="24" width="2.57421875" style="118" customWidth="1"/>
    <col min="25" max="25" width="15.00390625" style="118" customWidth="1"/>
    <col min="26" max="27" width="13.00390625" style="118" customWidth="1"/>
    <col min="28" max="28" width="12.28125" style="118" customWidth="1"/>
    <col min="29" max="29" width="13.00390625" style="118" customWidth="1"/>
    <col min="30" max="32" width="12.7109375" style="118" customWidth="1"/>
    <col min="33" max="34" width="13.00390625" style="118" customWidth="1"/>
    <col min="35" max="35" width="2.7109375" style="118" customWidth="1"/>
    <col min="36" max="16384" width="6.28125" style="118" customWidth="1"/>
  </cols>
  <sheetData>
    <row r="2" spans="11:12" ht="9.75">
      <c r="K2" s="119" t="s">
        <v>231</v>
      </c>
      <c r="L2" s="120" t="e">
        <f>VALUE(RIGHT(SelQ,1))</f>
        <v>#REF!</v>
      </c>
    </row>
    <row r="3" spans="8:12" ht="9.75">
      <c r="H3" s="121"/>
      <c r="K3" s="119" t="s">
        <v>232</v>
      </c>
      <c r="L3" s="120" t="e">
        <f>Q_No+IF(SelLng="ENG",4,0)</f>
        <v>#REF!</v>
      </c>
    </row>
    <row r="4" spans="3:6" ht="10.5" thickBot="1">
      <c r="C4" s="122"/>
      <c r="D4" s="122"/>
      <c r="E4" s="122"/>
      <c r="F4" s="122"/>
    </row>
    <row r="5" spans="9:10" ht="11.25" thickBot="1" thickTop="1">
      <c r="I5" s="264" t="s">
        <v>233</v>
      </c>
      <c r="J5" s="266" t="s">
        <v>234</v>
      </c>
    </row>
    <row r="6" spans="8:21" ht="15" thickBot="1" thickTop="1">
      <c r="H6" s="123"/>
      <c r="I6" s="265"/>
      <c r="J6" s="267"/>
      <c r="K6" s="124" t="s">
        <v>227</v>
      </c>
      <c r="L6" s="124"/>
      <c r="M6" s="124"/>
      <c r="N6" s="124"/>
      <c r="O6" s="124" t="s">
        <v>228</v>
      </c>
      <c r="P6" s="124"/>
      <c r="Q6" s="124"/>
      <c r="R6" s="124"/>
      <c r="S6" s="125" t="s">
        <v>235</v>
      </c>
      <c r="T6" s="126"/>
      <c r="U6" s="126"/>
    </row>
    <row r="7" spans="3:21" ht="14.25" thickTop="1">
      <c r="C7" s="127" t="s">
        <v>236</v>
      </c>
      <c r="D7" s="127" t="s">
        <v>138</v>
      </c>
      <c r="E7" s="127" t="s">
        <v>236</v>
      </c>
      <c r="F7" s="127" t="s">
        <v>237</v>
      </c>
      <c r="H7" s="128"/>
      <c r="I7" s="129" t="s">
        <v>238</v>
      </c>
      <c r="J7" s="130" t="e">
        <f aca="true" t="shared" si="0" ref="J7:J38">INDEX(K7:R7,,SelectIdx)</f>
        <v>#REF!</v>
      </c>
      <c r="K7" s="122" t="s">
        <v>239</v>
      </c>
      <c r="L7" s="122" t="s">
        <v>240</v>
      </c>
      <c r="M7" s="122" t="s">
        <v>241</v>
      </c>
      <c r="N7" s="122" t="s">
        <v>242</v>
      </c>
      <c r="O7" s="122" t="s">
        <v>243</v>
      </c>
      <c r="P7" s="122" t="s">
        <v>244</v>
      </c>
      <c r="Q7" s="122" t="s">
        <v>245</v>
      </c>
      <c r="R7" s="122" t="s">
        <v>246</v>
      </c>
      <c r="U7" s="131"/>
    </row>
    <row r="8" spans="3:21" ht="10.5" thickBot="1">
      <c r="C8" s="132" t="s">
        <v>247</v>
      </c>
      <c r="D8" s="133" t="e">
        <f>SelYear</f>
        <v>#REF!</v>
      </c>
      <c r="E8" s="132" t="s">
        <v>248</v>
      </c>
      <c r="F8" s="134" t="e">
        <f>VALUE(RIGHT(SelYear,2))</f>
        <v>#REF!</v>
      </c>
      <c r="H8" s="135"/>
      <c r="I8" s="136" t="s">
        <v>249</v>
      </c>
      <c r="J8" s="137" t="e">
        <f t="shared" si="0"/>
        <v>#REF!</v>
      </c>
      <c r="K8" s="138" t="s">
        <v>250</v>
      </c>
      <c r="L8" s="138" t="s">
        <v>251</v>
      </c>
      <c r="M8" s="138" t="s">
        <v>252</v>
      </c>
      <c r="N8" s="138" t="s">
        <v>253</v>
      </c>
      <c r="O8" s="138" t="s">
        <v>254</v>
      </c>
      <c r="P8" s="138" t="s">
        <v>255</v>
      </c>
      <c r="Q8" s="138" t="s">
        <v>256</v>
      </c>
      <c r="R8" s="138" t="s">
        <v>257</v>
      </c>
      <c r="S8" s="139"/>
      <c r="T8" s="139"/>
      <c r="U8" s="140"/>
    </row>
    <row r="9" spans="3:21" ht="12.75" customHeight="1" thickTop="1">
      <c r="C9" s="132" t="s">
        <v>258</v>
      </c>
      <c r="D9" s="133" t="e">
        <f aca="true" t="shared" si="1" ref="D9:D18">D8-1</f>
        <v>#REF!</v>
      </c>
      <c r="E9" s="132" t="s">
        <v>259</v>
      </c>
      <c r="F9" s="134" t="e">
        <f aca="true" t="shared" si="2" ref="F9:F18">TEXT(F8-1,"00")</f>
        <v>#REF!</v>
      </c>
      <c r="H9" s="268" t="s">
        <v>260</v>
      </c>
      <c r="I9" s="141" t="s">
        <v>261</v>
      </c>
      <c r="J9" s="142" t="e">
        <f>INDEX(K9:R9,,SelectIdx)</f>
        <v>#REF!</v>
      </c>
      <c r="K9" s="143">
        <v>1</v>
      </c>
      <c r="L9" s="143">
        <v>2</v>
      </c>
      <c r="M9" s="143">
        <v>3</v>
      </c>
      <c r="N9" s="143">
        <v>4</v>
      </c>
      <c r="O9" s="143">
        <v>1</v>
      </c>
      <c r="P9" s="143">
        <v>2</v>
      </c>
      <c r="Q9" s="143">
        <v>3</v>
      </c>
      <c r="R9" s="143">
        <v>4</v>
      </c>
      <c r="S9" s="143"/>
      <c r="T9" s="144"/>
      <c r="U9" s="145"/>
    </row>
    <row r="10" spans="3:21" ht="9.75">
      <c r="C10" s="132" t="s">
        <v>262</v>
      </c>
      <c r="D10" s="133" t="e">
        <f t="shared" si="1"/>
        <v>#REF!</v>
      </c>
      <c r="E10" s="132" t="s">
        <v>263</v>
      </c>
      <c r="F10" s="134" t="e">
        <f t="shared" si="2"/>
        <v>#REF!</v>
      </c>
      <c r="H10" s="269"/>
      <c r="I10" s="146" t="s">
        <v>264</v>
      </c>
      <c r="J10" s="147" t="e">
        <f t="shared" si="0"/>
        <v>#REF!</v>
      </c>
      <c r="K10" s="148" t="str">
        <f>"Q"&amp;K9</f>
        <v>Q1</v>
      </c>
      <c r="L10" s="148" t="str">
        <f aca="true" t="shared" si="3" ref="L10:R10">"Q"&amp;L9</f>
        <v>Q2</v>
      </c>
      <c r="M10" s="148" t="str">
        <f t="shared" si="3"/>
        <v>Q3</v>
      </c>
      <c r="N10" s="148" t="str">
        <f t="shared" si="3"/>
        <v>Q4</v>
      </c>
      <c r="O10" s="148" t="str">
        <f t="shared" si="3"/>
        <v>Q1</v>
      </c>
      <c r="P10" s="148" t="str">
        <f t="shared" si="3"/>
        <v>Q2</v>
      </c>
      <c r="Q10" s="148" t="str">
        <f t="shared" si="3"/>
        <v>Q3</v>
      </c>
      <c r="R10" s="148" t="str">
        <f t="shared" si="3"/>
        <v>Q4</v>
      </c>
      <c r="S10" s="149"/>
      <c r="T10" s="150"/>
      <c r="U10" s="151"/>
    </row>
    <row r="11" spans="3:21" ht="9.75">
      <c r="C11" s="132" t="s">
        <v>265</v>
      </c>
      <c r="D11" s="133" t="e">
        <f t="shared" si="1"/>
        <v>#REF!</v>
      </c>
      <c r="E11" s="132" t="s">
        <v>266</v>
      </c>
      <c r="F11" s="134" t="e">
        <f t="shared" si="2"/>
        <v>#REF!</v>
      </c>
      <c r="H11" s="269"/>
      <c r="I11" s="146" t="s">
        <v>267</v>
      </c>
      <c r="J11" s="147" t="e">
        <f t="shared" si="0"/>
        <v>#REF!</v>
      </c>
      <c r="K11" s="148" t="e">
        <f aca="true" t="shared" si="4" ref="K11:R11">K10&amp;$S11&amp;SelYear</f>
        <v>#REF!</v>
      </c>
      <c r="L11" s="148" t="e">
        <f t="shared" si="4"/>
        <v>#REF!</v>
      </c>
      <c r="M11" s="148" t="e">
        <f t="shared" si="4"/>
        <v>#REF!</v>
      </c>
      <c r="N11" s="148" t="e">
        <f t="shared" si="4"/>
        <v>#REF!</v>
      </c>
      <c r="O11" s="148" t="e">
        <f t="shared" si="4"/>
        <v>#REF!</v>
      </c>
      <c r="P11" s="148" t="e">
        <f t="shared" si="4"/>
        <v>#REF!</v>
      </c>
      <c r="Q11" s="148" t="e">
        <f t="shared" si="4"/>
        <v>#REF!</v>
      </c>
      <c r="R11" s="148" t="e">
        <f t="shared" si="4"/>
        <v>#REF!</v>
      </c>
      <c r="S11" s="149" t="s">
        <v>229</v>
      </c>
      <c r="T11" s="150"/>
      <c r="U11" s="151"/>
    </row>
    <row r="12" spans="3:21" ht="9.75">
      <c r="C12" s="132" t="s">
        <v>268</v>
      </c>
      <c r="D12" s="133" t="e">
        <f t="shared" si="1"/>
        <v>#REF!</v>
      </c>
      <c r="E12" s="132" t="s">
        <v>269</v>
      </c>
      <c r="F12" s="134" t="e">
        <f t="shared" si="2"/>
        <v>#REF!</v>
      </c>
      <c r="H12" s="269"/>
      <c r="I12" s="146" t="s">
        <v>270</v>
      </c>
      <c r="J12" s="147" t="e">
        <f t="shared" si="0"/>
        <v>#REF!</v>
      </c>
      <c r="K12" s="148" t="e">
        <f>K10&amp;$S12&amp;ActY</f>
        <v>#REF!</v>
      </c>
      <c r="L12" s="148" t="e">
        <f aca="true" t="shared" si="5" ref="L12:R12">L10&amp;$S12&amp;ActY</f>
        <v>#REF!</v>
      </c>
      <c r="M12" s="148" t="e">
        <f t="shared" si="5"/>
        <v>#REF!</v>
      </c>
      <c r="N12" s="148" t="e">
        <f t="shared" si="5"/>
        <v>#REF!</v>
      </c>
      <c r="O12" s="148" t="e">
        <f t="shared" si="5"/>
        <v>#REF!</v>
      </c>
      <c r="P12" s="148" t="e">
        <f t="shared" si="5"/>
        <v>#REF!</v>
      </c>
      <c r="Q12" s="148" t="e">
        <f t="shared" si="5"/>
        <v>#REF!</v>
      </c>
      <c r="R12" s="148" t="e">
        <f t="shared" si="5"/>
        <v>#REF!</v>
      </c>
      <c r="S12" s="149" t="s">
        <v>229</v>
      </c>
      <c r="T12" s="150"/>
      <c r="U12" s="151"/>
    </row>
    <row r="13" spans="3:21" ht="9.75">
      <c r="C13" s="132" t="s">
        <v>271</v>
      </c>
      <c r="D13" s="133" t="e">
        <f t="shared" si="1"/>
        <v>#REF!</v>
      </c>
      <c r="E13" s="132" t="s">
        <v>272</v>
      </c>
      <c r="F13" s="134" t="e">
        <f t="shared" si="2"/>
        <v>#REF!</v>
      </c>
      <c r="H13" s="269"/>
      <c r="I13" s="146" t="s">
        <v>273</v>
      </c>
      <c r="J13" s="147" t="e">
        <f t="shared" si="0"/>
        <v>#REF!</v>
      </c>
      <c r="K13" s="148" t="e">
        <f aca="true" t="shared" si="6" ref="K13:R13">K9&amp;$S13&amp;SelYear</f>
        <v>#REF!</v>
      </c>
      <c r="L13" s="148" t="e">
        <f t="shared" si="6"/>
        <v>#REF!</v>
      </c>
      <c r="M13" s="148" t="e">
        <f t="shared" si="6"/>
        <v>#REF!</v>
      </c>
      <c r="N13" s="148" t="e">
        <f t="shared" si="6"/>
        <v>#REF!</v>
      </c>
      <c r="O13" s="148" t="e">
        <f t="shared" si="6"/>
        <v>#REF!</v>
      </c>
      <c r="P13" s="148" t="e">
        <f t="shared" si="6"/>
        <v>#REF!</v>
      </c>
      <c r="Q13" s="148" t="e">
        <f t="shared" si="6"/>
        <v>#REF!</v>
      </c>
      <c r="R13" s="148" t="e">
        <f t="shared" si="6"/>
        <v>#REF!</v>
      </c>
      <c r="S13" s="149" t="s">
        <v>229</v>
      </c>
      <c r="T13" s="150"/>
      <c r="U13" s="151"/>
    </row>
    <row r="14" spans="3:21" ht="10.5" thickBot="1">
      <c r="C14" s="132" t="s">
        <v>274</v>
      </c>
      <c r="D14" s="133" t="e">
        <f t="shared" si="1"/>
        <v>#REF!</v>
      </c>
      <c r="E14" s="132" t="s">
        <v>275</v>
      </c>
      <c r="F14" s="134" t="e">
        <f t="shared" si="2"/>
        <v>#REF!</v>
      </c>
      <c r="H14" s="269"/>
      <c r="I14" s="152" t="s">
        <v>276</v>
      </c>
      <c r="J14" s="153" t="e">
        <f t="shared" si="0"/>
        <v>#REF!</v>
      </c>
      <c r="K14" s="154" t="e">
        <f aca="true" t="shared" si="7" ref="K14:R14">K9&amp;$S14&amp;ActY</f>
        <v>#REF!</v>
      </c>
      <c r="L14" s="154" t="e">
        <f t="shared" si="7"/>
        <v>#REF!</v>
      </c>
      <c r="M14" s="154" t="e">
        <f>M9&amp;$S14&amp;ActY</f>
        <v>#REF!</v>
      </c>
      <c r="N14" s="154" t="e">
        <f t="shared" si="7"/>
        <v>#REF!</v>
      </c>
      <c r="O14" s="154" t="e">
        <f t="shared" si="7"/>
        <v>#REF!</v>
      </c>
      <c r="P14" s="154" t="e">
        <f t="shared" si="7"/>
        <v>#REF!</v>
      </c>
      <c r="Q14" s="154" t="e">
        <f t="shared" si="7"/>
        <v>#REF!</v>
      </c>
      <c r="R14" s="154" t="e">
        <f t="shared" si="7"/>
        <v>#REF!</v>
      </c>
      <c r="S14" s="155" t="s">
        <v>229</v>
      </c>
      <c r="T14" s="156"/>
      <c r="U14" s="157"/>
    </row>
    <row r="15" spans="3:21" ht="9.75">
      <c r="C15" s="132" t="s">
        <v>277</v>
      </c>
      <c r="D15" s="133" t="e">
        <f t="shared" si="1"/>
        <v>#REF!</v>
      </c>
      <c r="E15" s="132" t="s">
        <v>278</v>
      </c>
      <c r="F15" s="134" t="e">
        <f t="shared" si="2"/>
        <v>#REF!</v>
      </c>
      <c r="H15" s="269"/>
      <c r="I15" s="158" t="s">
        <v>279</v>
      </c>
      <c r="J15" s="159" t="e">
        <f t="shared" si="0"/>
        <v>#REF!</v>
      </c>
      <c r="K15" s="160" t="s">
        <v>280</v>
      </c>
      <c r="L15" s="160" t="s">
        <v>281</v>
      </c>
      <c r="M15" s="160" t="s">
        <v>282</v>
      </c>
      <c r="N15" s="160" t="s">
        <v>283</v>
      </c>
      <c r="O15" s="160" t="s">
        <v>280</v>
      </c>
      <c r="P15" s="160" t="s">
        <v>281</v>
      </c>
      <c r="Q15" s="160" t="s">
        <v>282</v>
      </c>
      <c r="R15" s="160" t="s">
        <v>283</v>
      </c>
      <c r="S15" s="161"/>
      <c r="T15" s="162"/>
      <c r="U15" s="163"/>
    </row>
    <row r="16" spans="3:21" ht="10.5" thickBot="1">
      <c r="C16" s="132" t="s">
        <v>284</v>
      </c>
      <c r="D16" s="133" t="e">
        <f t="shared" si="1"/>
        <v>#REF!</v>
      </c>
      <c r="E16" s="132" t="s">
        <v>285</v>
      </c>
      <c r="F16" s="134" t="e">
        <f t="shared" si="2"/>
        <v>#REF!</v>
      </c>
      <c r="H16" s="269"/>
      <c r="I16" s="152" t="s">
        <v>286</v>
      </c>
      <c r="J16" s="153" t="e">
        <f t="shared" si="0"/>
        <v>#REF!</v>
      </c>
      <c r="K16" s="154" t="e">
        <f aca="true" t="shared" si="8" ref="K16:R16">ActYear&amp;$S16&amp;K15</f>
        <v>#REF!</v>
      </c>
      <c r="L16" s="154" t="e">
        <f t="shared" si="8"/>
        <v>#REF!</v>
      </c>
      <c r="M16" s="154" t="e">
        <f t="shared" si="8"/>
        <v>#REF!</v>
      </c>
      <c r="N16" s="154" t="e">
        <f t="shared" si="8"/>
        <v>#REF!</v>
      </c>
      <c r="O16" s="154" t="e">
        <f t="shared" si="8"/>
        <v>#REF!</v>
      </c>
      <c r="P16" s="154" t="e">
        <f t="shared" si="8"/>
        <v>#REF!</v>
      </c>
      <c r="Q16" s="154" t="e">
        <f t="shared" si="8"/>
        <v>#REF!</v>
      </c>
      <c r="R16" s="154" t="e">
        <f t="shared" si="8"/>
        <v>#REF!</v>
      </c>
      <c r="S16" s="155" t="s">
        <v>229</v>
      </c>
      <c r="T16" s="156"/>
      <c r="U16" s="157"/>
    </row>
    <row r="17" spans="3:21" ht="9.75">
      <c r="C17" s="132" t="s">
        <v>287</v>
      </c>
      <c r="D17" s="133" t="e">
        <f t="shared" si="1"/>
        <v>#REF!</v>
      </c>
      <c r="E17" s="132" t="s">
        <v>288</v>
      </c>
      <c r="F17" s="134" t="e">
        <f t="shared" si="2"/>
        <v>#REF!</v>
      </c>
      <c r="H17" s="269"/>
      <c r="I17" s="158" t="s">
        <v>289</v>
      </c>
      <c r="J17" s="159" t="e">
        <f t="shared" si="0"/>
        <v>#REF!</v>
      </c>
      <c r="K17" s="161" t="s">
        <v>290</v>
      </c>
      <c r="L17" s="161" t="s">
        <v>291</v>
      </c>
      <c r="M17" s="161" t="s">
        <v>292</v>
      </c>
      <c r="N17" s="161" t="s">
        <v>293</v>
      </c>
      <c r="O17" s="161" t="s">
        <v>294</v>
      </c>
      <c r="P17" s="161" t="s">
        <v>295</v>
      </c>
      <c r="Q17" s="161" t="s">
        <v>296</v>
      </c>
      <c r="R17" s="161" t="s">
        <v>297</v>
      </c>
      <c r="S17" s="161"/>
      <c r="T17" s="162"/>
      <c r="U17" s="163"/>
    </row>
    <row r="18" spans="3:21" ht="9.75">
      <c r="C18" s="132" t="s">
        <v>298</v>
      </c>
      <c r="D18" s="133" t="e">
        <f t="shared" si="1"/>
        <v>#REF!</v>
      </c>
      <c r="E18" s="132" t="s">
        <v>299</v>
      </c>
      <c r="F18" s="134" t="e">
        <f t="shared" si="2"/>
        <v>#REF!</v>
      </c>
      <c r="H18" s="269"/>
      <c r="I18" s="146" t="s">
        <v>300</v>
      </c>
      <c r="J18" s="164" t="e">
        <f t="shared" si="0"/>
        <v>#REF!</v>
      </c>
      <c r="K18" s="165" t="e">
        <f aca="true" t="shared" si="9" ref="K18:R18">_XLL.SLUTMÅNAD(DATE(ActYear,K15,1),0)</f>
        <v>#NAME?</v>
      </c>
      <c r="L18" s="165" t="e">
        <f t="shared" si="9"/>
        <v>#NAME?</v>
      </c>
      <c r="M18" s="165" t="e">
        <f t="shared" si="9"/>
        <v>#NAME?</v>
      </c>
      <c r="N18" s="165" t="e">
        <f t="shared" si="9"/>
        <v>#NAME?</v>
      </c>
      <c r="O18" s="165" t="e">
        <f t="shared" si="9"/>
        <v>#NAME?</v>
      </c>
      <c r="P18" s="165" t="e">
        <f t="shared" si="9"/>
        <v>#NAME?</v>
      </c>
      <c r="Q18" s="165" t="e">
        <f t="shared" si="9"/>
        <v>#NAME?</v>
      </c>
      <c r="R18" s="165" t="e">
        <f t="shared" si="9"/>
        <v>#NAME?</v>
      </c>
      <c r="S18" s="149"/>
      <c r="T18" s="150"/>
      <c r="U18" s="151"/>
    </row>
    <row r="19" spans="8:21" ht="9.75">
      <c r="H19" s="269"/>
      <c r="I19" s="146" t="s">
        <v>301</v>
      </c>
      <c r="J19" s="147" t="e">
        <f t="shared" si="0"/>
        <v>#REF!</v>
      </c>
      <c r="K19" s="148" t="e">
        <f>K17&amp;$S19&amp;ActYear</f>
        <v>#REF!</v>
      </c>
      <c r="L19" s="148" t="e">
        <f>L17&amp;$S19&amp;ActYear</f>
        <v>#REF!</v>
      </c>
      <c r="M19" s="148" t="e">
        <f>M17&amp;$S19&amp;ActYear</f>
        <v>#REF!</v>
      </c>
      <c r="N19" s="148" t="e">
        <f>N17&amp;$S19&amp;ActYear</f>
        <v>#REF!</v>
      </c>
      <c r="O19" s="148" t="e">
        <f>O17&amp;","&amp;$S19&amp;ActYear</f>
        <v>#REF!</v>
      </c>
      <c r="P19" s="148" t="e">
        <f>P17&amp;","&amp;$S19&amp;ActYear</f>
        <v>#REF!</v>
      </c>
      <c r="Q19" s="148" t="e">
        <f>Q17&amp;","&amp;$S19&amp;ActYear</f>
        <v>#REF!</v>
      </c>
      <c r="R19" s="148" t="e">
        <f>R17&amp;","&amp;$S19&amp;ActYear</f>
        <v>#REF!</v>
      </c>
      <c r="S19" s="149" t="s">
        <v>229</v>
      </c>
      <c r="T19" s="150"/>
      <c r="U19" s="151"/>
    </row>
    <row r="20" spans="3:21" ht="10.5" thickBot="1">
      <c r="C20" s="166" t="s">
        <v>302</v>
      </c>
      <c r="D20" s="167" t="e">
        <f>"H1 "&amp;ActYear</f>
        <v>#REF!</v>
      </c>
      <c r="H20" s="269"/>
      <c r="I20" s="152" t="s">
        <v>303</v>
      </c>
      <c r="J20" s="153" t="e">
        <f t="shared" si="0"/>
        <v>#REF!</v>
      </c>
      <c r="K20" s="154" t="e">
        <f aca="true" t="shared" si="10" ref="K20:R20">K17&amp;$S20&amp;ActY</f>
        <v>#REF!</v>
      </c>
      <c r="L20" s="154" t="e">
        <f t="shared" si="10"/>
        <v>#REF!</v>
      </c>
      <c r="M20" s="154" t="e">
        <f t="shared" si="10"/>
        <v>#REF!</v>
      </c>
      <c r="N20" s="154" t="e">
        <f t="shared" si="10"/>
        <v>#REF!</v>
      </c>
      <c r="O20" s="154" t="e">
        <f t="shared" si="10"/>
        <v>#REF!</v>
      </c>
      <c r="P20" s="154" t="e">
        <f t="shared" si="10"/>
        <v>#REF!</v>
      </c>
      <c r="Q20" s="154" t="e">
        <f t="shared" si="10"/>
        <v>#REF!</v>
      </c>
      <c r="R20" s="154" t="e">
        <f t="shared" si="10"/>
        <v>#REF!</v>
      </c>
      <c r="S20" s="155" t="s">
        <v>229</v>
      </c>
      <c r="T20" s="156"/>
      <c r="U20" s="157"/>
    </row>
    <row r="21" spans="3:21" ht="9.75">
      <c r="C21" s="166" t="s">
        <v>304</v>
      </c>
      <c r="D21" s="167" t="e">
        <f>"H1 "&amp;ActYear_m1Y</f>
        <v>#REF!</v>
      </c>
      <c r="H21" s="269"/>
      <c r="I21" s="158" t="s">
        <v>305</v>
      </c>
      <c r="J21" s="159" t="e">
        <f t="shared" si="0"/>
        <v>#REF!</v>
      </c>
      <c r="K21" s="168" t="e">
        <f aca="true" t="shared" si="11" ref="K21:R21">K23&amp;$S21&amp;ActYear</f>
        <v>#REF!</v>
      </c>
      <c r="L21" s="168" t="e">
        <f t="shared" si="11"/>
        <v>#REF!</v>
      </c>
      <c r="M21" s="168" t="e">
        <f t="shared" si="11"/>
        <v>#REF!</v>
      </c>
      <c r="N21" s="168" t="e">
        <f t="shared" si="11"/>
        <v>#REF!</v>
      </c>
      <c r="O21" s="168" t="e">
        <f t="shared" si="11"/>
        <v>#REF!</v>
      </c>
      <c r="P21" s="168" t="e">
        <f t="shared" si="11"/>
        <v>#REF!</v>
      </c>
      <c r="Q21" s="168" t="e">
        <f t="shared" si="11"/>
        <v>#REF!</v>
      </c>
      <c r="R21" s="168" t="e">
        <f t="shared" si="11"/>
        <v>#REF!</v>
      </c>
      <c r="S21" s="161" t="s">
        <v>229</v>
      </c>
      <c r="T21" s="162"/>
      <c r="U21" s="163"/>
    </row>
    <row r="22" spans="8:21" ht="10.5" thickBot="1">
      <c r="H22" s="269"/>
      <c r="I22" s="152" t="s">
        <v>306</v>
      </c>
      <c r="J22" s="153" t="e">
        <f t="shared" si="0"/>
        <v>#REF!</v>
      </c>
      <c r="K22" s="154" t="e">
        <f aca="true" t="shared" si="12" ref="K22:R22">K23&amp;$S21&amp;ActY</f>
        <v>#REF!</v>
      </c>
      <c r="L22" s="154" t="e">
        <f t="shared" si="12"/>
        <v>#REF!</v>
      </c>
      <c r="M22" s="154" t="e">
        <f t="shared" si="12"/>
        <v>#REF!</v>
      </c>
      <c r="N22" s="154" t="e">
        <f t="shared" si="12"/>
        <v>#REF!</v>
      </c>
      <c r="O22" s="154" t="e">
        <f t="shared" si="12"/>
        <v>#REF!</v>
      </c>
      <c r="P22" s="154" t="e">
        <f t="shared" si="12"/>
        <v>#REF!</v>
      </c>
      <c r="Q22" s="154" t="e">
        <f t="shared" si="12"/>
        <v>#REF!</v>
      </c>
      <c r="R22" s="154" t="e">
        <f t="shared" si="12"/>
        <v>#REF!</v>
      </c>
      <c r="S22" s="155"/>
      <c r="T22" s="156"/>
      <c r="U22" s="157"/>
    </row>
    <row r="23" spans="3:21" ht="9.75">
      <c r="C23" s="166" t="s">
        <v>307</v>
      </c>
      <c r="D23" s="169" t="s">
        <v>308</v>
      </c>
      <c r="E23" s="170" t="s">
        <v>309</v>
      </c>
      <c r="F23" s="171" t="e">
        <f>IF(INDEX($D23:$E23,,SelLngNo)=0,"",INDEX($D23:$E23,,SelLngNo))&amp;" "&amp;ActYear</f>
        <v>#REF!</v>
      </c>
      <c r="H23" s="269"/>
      <c r="I23" s="158" t="s">
        <v>310</v>
      </c>
      <c r="J23" s="159" t="e">
        <f t="shared" si="0"/>
        <v>#REF!</v>
      </c>
      <c r="K23" s="161" t="s">
        <v>311</v>
      </c>
      <c r="L23" s="161" t="s">
        <v>312</v>
      </c>
      <c r="M23" s="161" t="s">
        <v>313</v>
      </c>
      <c r="N23" s="161" t="s">
        <v>314</v>
      </c>
      <c r="O23" s="161" t="s">
        <v>315</v>
      </c>
      <c r="P23" s="161" t="s">
        <v>316</v>
      </c>
      <c r="Q23" s="161" t="s">
        <v>317</v>
      </c>
      <c r="R23" s="161" t="s">
        <v>318</v>
      </c>
      <c r="S23" s="161"/>
      <c r="T23" s="162"/>
      <c r="U23" s="163"/>
    </row>
    <row r="24" spans="3:21" ht="10.5" thickBot="1">
      <c r="C24" s="166" t="s">
        <v>319</v>
      </c>
      <c r="D24" s="169" t="s">
        <v>308</v>
      </c>
      <c r="E24" s="170" t="s">
        <v>309</v>
      </c>
      <c r="F24" s="171" t="e">
        <f>IF(INDEX($D24:$E24,,SelLngNo)=0,"",INDEX($D24:$E24,,SelLngNo))&amp;" "&amp;ActYear_m1Y</f>
        <v>#REF!</v>
      </c>
      <c r="H24" s="270"/>
      <c r="I24" s="146" t="s">
        <v>320</v>
      </c>
      <c r="J24" s="147" t="e">
        <f t="shared" si="0"/>
        <v>#REF!</v>
      </c>
      <c r="K24" s="149" t="s">
        <v>311</v>
      </c>
      <c r="L24" s="149" t="s">
        <v>321</v>
      </c>
      <c r="M24" s="149" t="s">
        <v>322</v>
      </c>
      <c r="N24" s="149" t="s">
        <v>308</v>
      </c>
      <c r="O24" s="149" t="s">
        <v>315</v>
      </c>
      <c r="P24" s="149" t="s">
        <v>323</v>
      </c>
      <c r="Q24" s="149" t="s">
        <v>324</v>
      </c>
      <c r="R24" s="149" t="s">
        <v>309</v>
      </c>
      <c r="S24" s="149"/>
      <c r="T24" s="150"/>
      <c r="U24" s="151"/>
    </row>
    <row r="25" spans="3:21" ht="13.5" customHeight="1" thickTop="1">
      <c r="C25" s="166" t="s">
        <v>325</v>
      </c>
      <c r="D25" s="169" t="s">
        <v>308</v>
      </c>
      <c r="E25" s="170" t="s">
        <v>309</v>
      </c>
      <c r="F25" s="171" t="e">
        <f>IF(INDEX($D25:$E25,,SelLngNo)=0,"",INDEX($D25:$E25,,SelLngNo))</f>
        <v>#REF!</v>
      </c>
      <c r="H25" s="261" t="s">
        <v>326</v>
      </c>
      <c r="I25" s="172" t="s">
        <v>327</v>
      </c>
      <c r="J25" s="173" t="e">
        <f t="shared" si="0"/>
        <v>#REF!</v>
      </c>
      <c r="K25" s="174">
        <f>N9</f>
        <v>4</v>
      </c>
      <c r="L25" s="174">
        <f>K9</f>
        <v>1</v>
      </c>
      <c r="M25" s="174">
        <f>L9</f>
        <v>2</v>
      </c>
      <c r="N25" s="174">
        <f>M9</f>
        <v>3</v>
      </c>
      <c r="O25" s="174">
        <f>R9</f>
        <v>4</v>
      </c>
      <c r="P25" s="174">
        <f>O9</f>
        <v>1</v>
      </c>
      <c r="Q25" s="174">
        <f>P9</f>
        <v>2</v>
      </c>
      <c r="R25" s="174">
        <f>Q9</f>
        <v>3</v>
      </c>
      <c r="S25" s="174">
        <f aca="true" t="shared" si="13" ref="S25:S88">IF(S9="","",S9)</f>
      </c>
      <c r="T25" s="175"/>
      <c r="U25" s="176"/>
    </row>
    <row r="26" spans="3:21" ht="9.75">
      <c r="C26" s="166" t="s">
        <v>328</v>
      </c>
      <c r="D26" s="177" t="s">
        <v>293</v>
      </c>
      <c r="E26" s="178" t="s">
        <v>297</v>
      </c>
      <c r="F26" s="171" t="e">
        <f>IF(INDEX($D26:$E26,,SelLngNo)=0,"",INDEX($D26:$E26,,SelLngNo))</f>
        <v>#REF!</v>
      </c>
      <c r="H26" s="262"/>
      <c r="I26" s="146" t="s">
        <v>329</v>
      </c>
      <c r="J26" s="147" t="e">
        <f t="shared" si="0"/>
        <v>#REF!</v>
      </c>
      <c r="K26" s="148" t="str">
        <f aca="true" t="shared" si="14" ref="K26:R26">"Q"&amp;K25</f>
        <v>Q4</v>
      </c>
      <c r="L26" s="148" t="str">
        <f t="shared" si="14"/>
        <v>Q1</v>
      </c>
      <c r="M26" s="148" t="str">
        <f t="shared" si="14"/>
        <v>Q2</v>
      </c>
      <c r="N26" s="148" t="str">
        <f t="shared" si="14"/>
        <v>Q3</v>
      </c>
      <c r="O26" s="148" t="str">
        <f t="shared" si="14"/>
        <v>Q4</v>
      </c>
      <c r="P26" s="148" t="str">
        <f t="shared" si="14"/>
        <v>Q1</v>
      </c>
      <c r="Q26" s="148" t="str">
        <f t="shared" si="14"/>
        <v>Q2</v>
      </c>
      <c r="R26" s="148" t="str">
        <f t="shared" si="14"/>
        <v>Q3</v>
      </c>
      <c r="S26" s="148">
        <f t="shared" si="13"/>
      </c>
      <c r="T26" s="179"/>
      <c r="U26" s="180"/>
    </row>
    <row r="27" spans="3:21" ht="9.75">
      <c r="C27" s="166" t="s">
        <v>330</v>
      </c>
      <c r="D27" s="181" t="e">
        <f>DATE(ActYear,12,31)</f>
        <v>#REF!</v>
      </c>
      <c r="E27" s="182" t="e">
        <f>DATE(ActYear,12,31)</f>
        <v>#REF!</v>
      </c>
      <c r="F27" s="183" t="e">
        <f aca="true" t="shared" si="15" ref="F27:F32">IF(INDEX($D27:$E27,,SelLngNo)=0,"",INDEX($D27:$E27,,SelLngNo))</f>
        <v>#REF!</v>
      </c>
      <c r="H27" s="262"/>
      <c r="I27" s="146" t="s">
        <v>331</v>
      </c>
      <c r="J27" s="147" t="e">
        <f t="shared" si="0"/>
        <v>#REF!</v>
      </c>
      <c r="K27" s="148" t="e">
        <f>K26&amp;$S27&amp;ActYear_m1Y</f>
        <v>#REF!</v>
      </c>
      <c r="L27" s="148" t="e">
        <f>L26&amp;$S27&amp;SelYear</f>
        <v>#REF!</v>
      </c>
      <c r="M27" s="148" t="e">
        <f>M26&amp;$S27&amp;SelYear</f>
        <v>#REF!</v>
      </c>
      <c r="N27" s="148" t="e">
        <f>N26&amp;$S27&amp;SelYear</f>
        <v>#REF!</v>
      </c>
      <c r="O27" s="148" t="e">
        <f>O26&amp;$S27&amp;ActYear_m1Y</f>
        <v>#REF!</v>
      </c>
      <c r="P27" s="148" t="e">
        <f>P26&amp;$S27&amp;SelYear</f>
        <v>#REF!</v>
      </c>
      <c r="Q27" s="148" t="e">
        <f>Q26&amp;$S27&amp;SelYear</f>
        <v>#REF!</v>
      </c>
      <c r="R27" s="148" t="e">
        <f>R26&amp;$S27&amp;SelYear</f>
        <v>#REF!</v>
      </c>
      <c r="S27" s="148" t="str">
        <f t="shared" si="13"/>
        <v> </v>
      </c>
      <c r="T27" s="179"/>
      <c r="U27" s="180"/>
    </row>
    <row r="28" spans="3:21" ht="9.75">
      <c r="C28" s="166" t="s">
        <v>332</v>
      </c>
      <c r="D28" s="169" t="s">
        <v>308</v>
      </c>
      <c r="E28" s="170" t="s">
        <v>309</v>
      </c>
      <c r="F28" s="171" t="e">
        <f t="shared" si="15"/>
        <v>#REF!</v>
      </c>
      <c r="H28" s="262"/>
      <c r="I28" s="146" t="s">
        <v>333</v>
      </c>
      <c r="J28" s="147" t="e">
        <f t="shared" si="0"/>
        <v>#REF!</v>
      </c>
      <c r="K28" s="148" t="e">
        <f>K26&amp;$S28&amp;ActY_m1Y</f>
        <v>#REF!</v>
      </c>
      <c r="L28" s="148" t="e">
        <f>L26&amp;$S28&amp;ActY</f>
        <v>#REF!</v>
      </c>
      <c r="M28" s="148" t="e">
        <f>M26&amp;$S28&amp;ActY</f>
        <v>#REF!</v>
      </c>
      <c r="N28" s="148" t="e">
        <f>N26&amp;$S28&amp;ActY</f>
        <v>#REF!</v>
      </c>
      <c r="O28" s="148" t="e">
        <f>O26&amp;$S28&amp;ActY_m1Y</f>
        <v>#REF!</v>
      </c>
      <c r="P28" s="148" t="e">
        <f>P26&amp;$S28&amp;ActY</f>
        <v>#REF!</v>
      </c>
      <c r="Q28" s="148" t="e">
        <f>Q26&amp;$S28&amp;ActY</f>
        <v>#REF!</v>
      </c>
      <c r="R28" s="148" t="e">
        <f>R26&amp;$S28&amp;ActY</f>
        <v>#REF!</v>
      </c>
      <c r="S28" s="148" t="str">
        <f t="shared" si="13"/>
        <v> </v>
      </c>
      <c r="T28" s="179"/>
      <c r="U28" s="180"/>
    </row>
    <row r="29" spans="3:21" ht="9.75">
      <c r="C29" s="166" t="s">
        <v>334</v>
      </c>
      <c r="D29" s="169" t="s">
        <v>308</v>
      </c>
      <c r="E29" s="170" t="s">
        <v>309</v>
      </c>
      <c r="F29" s="171" t="e">
        <f t="shared" si="15"/>
        <v>#REF!</v>
      </c>
      <c r="H29" s="262"/>
      <c r="I29" s="146" t="s">
        <v>335</v>
      </c>
      <c r="J29" s="147" t="e">
        <f t="shared" si="0"/>
        <v>#REF!</v>
      </c>
      <c r="K29" s="148" t="e">
        <f>K25&amp;$S29&amp;ActYear_m1Y</f>
        <v>#REF!</v>
      </c>
      <c r="L29" s="148" t="e">
        <f>L25&amp;$S29&amp;SelYear</f>
        <v>#REF!</v>
      </c>
      <c r="M29" s="148" t="e">
        <f>M25&amp;$S29&amp;SelYear</f>
        <v>#REF!</v>
      </c>
      <c r="N29" s="148" t="e">
        <f>N25&amp;$S29&amp;SelYear</f>
        <v>#REF!</v>
      </c>
      <c r="O29" s="148" t="e">
        <f>O25&amp;$S29&amp;ActYear_m1Y</f>
        <v>#REF!</v>
      </c>
      <c r="P29" s="148" t="e">
        <f>P25&amp;$S29&amp;ActYear</f>
        <v>#REF!</v>
      </c>
      <c r="Q29" s="148" t="e">
        <f>Q25&amp;$S29&amp;SelYear</f>
        <v>#REF!</v>
      </c>
      <c r="R29" s="148" t="e">
        <f>R25&amp;$S29&amp;SelYear</f>
        <v>#REF!</v>
      </c>
      <c r="S29" s="148" t="str">
        <f t="shared" si="13"/>
        <v> </v>
      </c>
      <c r="T29" s="179"/>
      <c r="U29" s="180"/>
    </row>
    <row r="30" spans="3:21" ht="10.5" thickBot="1">
      <c r="C30" s="166" t="s">
        <v>336</v>
      </c>
      <c r="D30" s="181" t="e">
        <f>DATE(ActYear_m1Y,12,31)</f>
        <v>#REF!</v>
      </c>
      <c r="E30" s="182" t="e">
        <f>DATE(ActYear_m1Y,12,31)</f>
        <v>#REF!</v>
      </c>
      <c r="F30" s="183" t="e">
        <f t="shared" si="15"/>
        <v>#REF!</v>
      </c>
      <c r="H30" s="262"/>
      <c r="I30" s="152" t="s">
        <v>337</v>
      </c>
      <c r="J30" s="153" t="e">
        <f t="shared" si="0"/>
        <v>#REF!</v>
      </c>
      <c r="K30" s="154" t="e">
        <f>K25&amp;$S30&amp;ActY_m1Y</f>
        <v>#REF!</v>
      </c>
      <c r="L30" s="154" t="e">
        <f>L25&amp;$S30&amp;ActY</f>
        <v>#REF!</v>
      </c>
      <c r="M30" s="154" t="e">
        <f>M25&amp;$S30&amp;ActY</f>
        <v>#REF!</v>
      </c>
      <c r="N30" s="154" t="e">
        <f>N25&amp;$S30&amp;ActY</f>
        <v>#REF!</v>
      </c>
      <c r="O30" s="154" t="e">
        <f>O25&amp;$S30&amp;ActY_m1Y</f>
        <v>#REF!</v>
      </c>
      <c r="P30" s="154" t="e">
        <f>P25&amp;$S30&amp;ActY</f>
        <v>#REF!</v>
      </c>
      <c r="Q30" s="154" t="e">
        <f>Q25&amp;$S30&amp;ActY</f>
        <v>#REF!</v>
      </c>
      <c r="R30" s="154" t="e">
        <f>R25&amp;$S30&amp;ActY</f>
        <v>#REF!</v>
      </c>
      <c r="S30" s="154" t="str">
        <f t="shared" si="13"/>
        <v> </v>
      </c>
      <c r="T30" s="184"/>
      <c r="U30" s="185"/>
    </row>
    <row r="31" spans="3:21" ht="9.75">
      <c r="C31" s="166" t="s">
        <v>338</v>
      </c>
      <c r="D31" s="181" t="e">
        <f>DATE(ActYear_m2Y,12,31)</f>
        <v>#REF!</v>
      </c>
      <c r="E31" s="182" t="e">
        <f>DATE(ActYear_m2Y,12,31)</f>
        <v>#REF!</v>
      </c>
      <c r="F31" s="183" t="e">
        <f t="shared" si="15"/>
        <v>#REF!</v>
      </c>
      <c r="H31" s="262"/>
      <c r="I31" s="158" t="s">
        <v>339</v>
      </c>
      <c r="J31" s="159" t="e">
        <f t="shared" si="0"/>
        <v>#REF!</v>
      </c>
      <c r="K31" s="186" t="str">
        <f>N15</f>
        <v>12</v>
      </c>
      <c r="L31" s="186" t="str">
        <f>K15</f>
        <v>03</v>
      </c>
      <c r="M31" s="186" t="str">
        <f>L15</f>
        <v>06</v>
      </c>
      <c r="N31" s="186" t="str">
        <f>M15</f>
        <v>09</v>
      </c>
      <c r="O31" s="186" t="str">
        <f>R15</f>
        <v>12</v>
      </c>
      <c r="P31" s="186" t="str">
        <f>O15</f>
        <v>03</v>
      </c>
      <c r="Q31" s="186" t="str">
        <f>P15</f>
        <v>06</v>
      </c>
      <c r="R31" s="186" t="str">
        <f>Q15</f>
        <v>09</v>
      </c>
      <c r="S31" s="168">
        <f t="shared" si="13"/>
      </c>
      <c r="T31" s="187"/>
      <c r="U31" s="188"/>
    </row>
    <row r="32" spans="3:21" ht="10.5" thickBot="1">
      <c r="C32" s="166" t="s">
        <v>340</v>
      </c>
      <c r="D32" s="181" t="e">
        <f>DATE(ActYear_m3Y,12,31)</f>
        <v>#REF!</v>
      </c>
      <c r="E32" s="182" t="e">
        <f>DATE(ActYear_m3Y,12,31)</f>
        <v>#REF!</v>
      </c>
      <c r="F32" s="183" t="e">
        <f t="shared" si="15"/>
        <v>#REF!</v>
      </c>
      <c r="H32" s="262"/>
      <c r="I32" s="152" t="s">
        <v>341</v>
      </c>
      <c r="J32" s="153" t="e">
        <f t="shared" si="0"/>
        <v>#REF!</v>
      </c>
      <c r="K32" s="154" t="e">
        <f>ActYear_m1Y&amp;$S32&amp;K31</f>
        <v>#REF!</v>
      </c>
      <c r="L32" s="154" t="e">
        <f>ActYear&amp;$S32&amp;L31</f>
        <v>#REF!</v>
      </c>
      <c r="M32" s="154" t="e">
        <f>ActYear&amp;$S32&amp;M31</f>
        <v>#REF!</v>
      </c>
      <c r="N32" s="154" t="e">
        <f>ActYear&amp;$S32&amp;N31</f>
        <v>#REF!</v>
      </c>
      <c r="O32" s="154" t="e">
        <f>ActYear_m1Y&amp;$S32&amp;O31</f>
        <v>#REF!</v>
      </c>
      <c r="P32" s="154" t="e">
        <f>ActYear&amp;$S32&amp;P31</f>
        <v>#REF!</v>
      </c>
      <c r="Q32" s="154" t="e">
        <f>ActYear&amp;$S32&amp;Q31</f>
        <v>#REF!</v>
      </c>
      <c r="R32" s="154" t="e">
        <f>ActYear&amp;$S32&amp;R31</f>
        <v>#REF!</v>
      </c>
      <c r="S32" s="154" t="str">
        <f t="shared" si="13"/>
        <v> </v>
      </c>
      <c r="T32" s="184"/>
      <c r="U32" s="185"/>
    </row>
    <row r="33" spans="4:21" ht="9.75">
      <c r="D33" s="189"/>
      <c r="F33" s="189"/>
      <c r="H33" s="262"/>
      <c r="I33" s="158" t="s">
        <v>342</v>
      </c>
      <c r="J33" s="159" t="e">
        <f t="shared" si="0"/>
        <v>#REF!</v>
      </c>
      <c r="K33" s="168" t="str">
        <f>N17</f>
        <v>31 dec.</v>
      </c>
      <c r="L33" s="168" t="str">
        <f>K17</f>
        <v>31 mar.</v>
      </c>
      <c r="M33" s="168" t="str">
        <f>L17</f>
        <v>30 jun.</v>
      </c>
      <c r="N33" s="168" t="str">
        <f>M17</f>
        <v>30 sep.</v>
      </c>
      <c r="O33" s="168" t="str">
        <f>R17</f>
        <v>Dec. 31</v>
      </c>
      <c r="P33" s="168" t="str">
        <f>O17</f>
        <v>Mar. 31</v>
      </c>
      <c r="Q33" s="168" t="str">
        <f>P17</f>
        <v>Jun. 30</v>
      </c>
      <c r="R33" s="168" t="str">
        <f>Q17</f>
        <v>Sep. 30</v>
      </c>
      <c r="S33" s="168">
        <f t="shared" si="13"/>
      </c>
      <c r="T33" s="187"/>
      <c r="U33" s="188"/>
    </row>
    <row r="34" spans="3:21" ht="9.75">
      <c r="C34" s="166" t="s">
        <v>343</v>
      </c>
      <c r="D34" s="169" t="s">
        <v>242</v>
      </c>
      <c r="E34" s="170" t="s">
        <v>246</v>
      </c>
      <c r="F34" s="171" t="e">
        <f>IF(INDEX($D34:$E34,,SelLngNo)=0,"",INDEX($D34:$E34,,SelLngNo))</f>
        <v>#REF!</v>
      </c>
      <c r="H34" s="262"/>
      <c r="I34" s="146" t="s">
        <v>344</v>
      </c>
      <c r="J34" s="164" t="e">
        <f t="shared" si="0"/>
        <v>#REF!</v>
      </c>
      <c r="K34" s="165" t="e">
        <f>_XLL.SLUTMÅNAD(DATE(ActYear_m1Y,K31,1),0)</f>
        <v>#NAME?</v>
      </c>
      <c r="L34" s="165" t="e">
        <f>_XLL.SLUTMÅNAD(DATE(ActYear,L31,1),0)</f>
        <v>#NAME?</v>
      </c>
      <c r="M34" s="165" t="e">
        <f>_XLL.SLUTMÅNAD(DATE(ActYear,M31,1),0)</f>
        <v>#NAME?</v>
      </c>
      <c r="N34" s="165" t="e">
        <f>_XLL.SLUTMÅNAD(DATE(ActYear,N31,1),0)</f>
        <v>#NAME?</v>
      </c>
      <c r="O34" s="165" t="e">
        <f>_XLL.SLUTMÅNAD(DATE(ActYear_m1Y,O31,1),0)</f>
        <v>#NAME?</v>
      </c>
      <c r="P34" s="165" t="e">
        <f>_XLL.SLUTMÅNAD(DATE(ActYear,P31,1),0)</f>
        <v>#NAME?</v>
      </c>
      <c r="Q34" s="165" t="e">
        <f>_XLL.SLUTMÅNAD(DATE(ActYear,Q31,1),0)</f>
        <v>#NAME?</v>
      </c>
      <c r="R34" s="165" t="e">
        <f>_XLL.SLUTMÅNAD(DATE(ActYear,R31,1),0)</f>
        <v>#NAME?</v>
      </c>
      <c r="S34" s="148">
        <f t="shared" si="13"/>
      </c>
      <c r="T34" s="179"/>
      <c r="U34" s="180"/>
    </row>
    <row r="35" spans="3:21" ht="9.75">
      <c r="C35" s="166" t="s">
        <v>345</v>
      </c>
      <c r="D35" s="169" t="s">
        <v>346</v>
      </c>
      <c r="E35" s="170" t="s">
        <v>4</v>
      </c>
      <c r="F35" s="171" t="e">
        <f>IF(INDEX($D35:$E35,,SelLngNo)=0,"",INDEX($D35:$E35,,SelLngNo))</f>
        <v>#REF!</v>
      </c>
      <c r="H35" s="262"/>
      <c r="I35" s="146" t="s">
        <v>347</v>
      </c>
      <c r="J35" s="147" t="e">
        <f t="shared" si="0"/>
        <v>#REF!</v>
      </c>
      <c r="K35" s="148" t="e">
        <f>K33&amp;$S35&amp;ActYear_m1Y</f>
        <v>#REF!</v>
      </c>
      <c r="L35" s="148" t="e">
        <f>L33&amp;$S35&amp;ActYear</f>
        <v>#REF!</v>
      </c>
      <c r="M35" s="148" t="e">
        <f>M33&amp;$S35&amp;ActYear</f>
        <v>#REF!</v>
      </c>
      <c r="N35" s="148" t="e">
        <f>N33&amp;$S35&amp;ActYear</f>
        <v>#REF!</v>
      </c>
      <c r="O35" s="148" t="e">
        <f>O33&amp;","&amp;$S35&amp;ActYear_m1Y</f>
        <v>#REF!</v>
      </c>
      <c r="P35" s="148" t="e">
        <f>P33&amp;","&amp;$S35&amp;ActYear</f>
        <v>#REF!</v>
      </c>
      <c r="Q35" s="148" t="e">
        <f>Q33&amp;","&amp;$S35&amp;ActYear</f>
        <v>#REF!</v>
      </c>
      <c r="R35" s="148" t="e">
        <f>R33&amp;","&amp;$S35&amp;ActYear</f>
        <v>#REF!</v>
      </c>
      <c r="S35" s="148" t="str">
        <f t="shared" si="13"/>
        <v> </v>
      </c>
      <c r="T35" s="179"/>
      <c r="U35" s="180"/>
    </row>
    <row r="36" spans="8:21" ht="10.5" thickBot="1">
      <c r="H36" s="262"/>
      <c r="I36" s="152" t="s">
        <v>348</v>
      </c>
      <c r="J36" s="153" t="e">
        <f t="shared" si="0"/>
        <v>#REF!</v>
      </c>
      <c r="K36" s="154" t="e">
        <f>K33&amp;$S36&amp;ActY_m1Y</f>
        <v>#REF!</v>
      </c>
      <c r="L36" s="154" t="e">
        <f>L33&amp;$S36&amp;ActY</f>
        <v>#REF!</v>
      </c>
      <c r="M36" s="154" t="e">
        <f>M33&amp;$S36&amp;ActY</f>
        <v>#REF!</v>
      </c>
      <c r="N36" s="154" t="e">
        <f>N33&amp;$S36&amp;ActY</f>
        <v>#REF!</v>
      </c>
      <c r="O36" s="154" t="e">
        <f>O33&amp;$S36&amp;ActY_m1Y</f>
        <v>#REF!</v>
      </c>
      <c r="P36" s="154" t="e">
        <f>P33&amp;$S36&amp;ActY</f>
        <v>#REF!</v>
      </c>
      <c r="Q36" s="154" t="e">
        <f>Q33&amp;$S36&amp;ActY</f>
        <v>#REF!</v>
      </c>
      <c r="R36" s="154" t="e">
        <f>R33&amp;$S36&amp;ActY</f>
        <v>#REF!</v>
      </c>
      <c r="S36" s="154" t="str">
        <f>IF(S20="","",S20)</f>
        <v> </v>
      </c>
      <c r="T36" s="184"/>
      <c r="U36" s="185"/>
    </row>
    <row r="37" spans="3:21" ht="9.75">
      <c r="C37" s="166" t="s">
        <v>349</v>
      </c>
      <c r="D37" s="167" t="e">
        <f>RIGHT(ActQ_Y,2)&amp;TEXT(ActQBrDate,"MM")&amp;"AQ"</f>
        <v>#REF!</v>
      </c>
      <c r="H37" s="262"/>
      <c r="I37" s="158" t="s">
        <v>350</v>
      </c>
      <c r="J37" s="159" t="e">
        <f t="shared" si="0"/>
        <v>#REF!</v>
      </c>
      <c r="K37" s="168" t="e">
        <f>K39&amp;$S37&amp;ActYear_m1Y</f>
        <v>#REF!</v>
      </c>
      <c r="L37" s="168" t="e">
        <f>L39&amp;$S37&amp;ActYear</f>
        <v>#REF!</v>
      </c>
      <c r="M37" s="168" t="e">
        <f>M39&amp;$S37&amp;ActYear</f>
        <v>#REF!</v>
      </c>
      <c r="N37" s="168" t="e">
        <f>N39&amp;$S37&amp;ActYear</f>
        <v>#REF!</v>
      </c>
      <c r="O37" s="168" t="e">
        <f>O39&amp;$S37&amp;ActYear_m1Y</f>
        <v>#REF!</v>
      </c>
      <c r="P37" s="168" t="e">
        <f>P39&amp;$S37&amp;ActYear</f>
        <v>#REF!</v>
      </c>
      <c r="Q37" s="168" t="e">
        <f>Q39&amp;$S37&amp;ActYear</f>
        <v>#REF!</v>
      </c>
      <c r="R37" s="168" t="e">
        <f>R39&amp;$S37&amp;ActYear</f>
        <v>#REF!</v>
      </c>
      <c r="S37" s="168" t="str">
        <f t="shared" si="13"/>
        <v> </v>
      </c>
      <c r="T37" s="187"/>
      <c r="U37" s="188"/>
    </row>
    <row r="38" spans="3:21" ht="10.5" thickBot="1">
      <c r="C38" s="166" t="s">
        <v>351</v>
      </c>
      <c r="D38" s="167" t="e">
        <f>RIGHT(m1Q_Q_Y,2)&amp;TEXT(m1Q_QBrDate,"MM")&amp;"AQ"</f>
        <v>#REF!</v>
      </c>
      <c r="H38" s="262"/>
      <c r="I38" s="152" t="s">
        <v>352</v>
      </c>
      <c r="J38" s="153" t="e">
        <f t="shared" si="0"/>
        <v>#REF!</v>
      </c>
      <c r="K38" s="154" t="e">
        <f>K39&amp;$S37&amp;ActY_m1Y</f>
        <v>#REF!</v>
      </c>
      <c r="L38" s="154" t="e">
        <f>L39&amp;$S37&amp;ActY</f>
        <v>#REF!</v>
      </c>
      <c r="M38" s="154" t="e">
        <f>M39&amp;$S37&amp;ActY</f>
        <v>#REF!</v>
      </c>
      <c r="N38" s="154" t="e">
        <f>N39&amp;$S37&amp;ActY</f>
        <v>#REF!</v>
      </c>
      <c r="O38" s="154" t="e">
        <f>O39&amp;$S37&amp;ActY_m1Y</f>
        <v>#REF!</v>
      </c>
      <c r="P38" s="154" t="e">
        <f>P39&amp;$S37&amp;ActY</f>
        <v>#REF!</v>
      </c>
      <c r="Q38" s="154" t="e">
        <f>Q39&amp;$S37&amp;ActY</f>
        <v>#REF!</v>
      </c>
      <c r="R38" s="154" t="e">
        <f>R39&amp;$S37&amp;ActY</f>
        <v>#REF!</v>
      </c>
      <c r="S38" s="154">
        <f t="shared" si="13"/>
      </c>
      <c r="T38" s="184"/>
      <c r="U38" s="185"/>
    </row>
    <row r="39" spans="3:21" ht="9.75">
      <c r="C39" s="166" t="s">
        <v>353</v>
      </c>
      <c r="D39" s="167" t="e">
        <f>RIGHT(m2Q_Q_Y,2)&amp;TEXT(m2Q_QBrDate,"MM")&amp;"AQ"</f>
        <v>#REF!</v>
      </c>
      <c r="H39" s="262"/>
      <c r="I39" s="158" t="s">
        <v>354</v>
      </c>
      <c r="J39" s="159" t="e">
        <f aca="true" t="shared" si="16" ref="J39:J70">INDEX(K39:R39,,SelectIdx)</f>
        <v>#REF!</v>
      </c>
      <c r="K39" s="168" t="str">
        <f>N23</f>
        <v>okt-dec</v>
      </c>
      <c r="L39" s="168" t="str">
        <f aca="true" t="shared" si="17" ref="L39:N41">K23</f>
        <v>jan-mar</v>
      </c>
      <c r="M39" s="168" t="str">
        <f t="shared" si="17"/>
        <v>apr-jun</v>
      </c>
      <c r="N39" s="168" t="str">
        <f t="shared" si="17"/>
        <v>jul-sep</v>
      </c>
      <c r="O39" s="168" t="str">
        <f>R23</f>
        <v>Oct-Dec</v>
      </c>
      <c r="P39" s="168" t="str">
        <f aca="true" t="shared" si="18" ref="P39:R41">O23</f>
        <v>Jan-Mar</v>
      </c>
      <c r="Q39" s="168" t="str">
        <f t="shared" si="18"/>
        <v>Apr-Jun</v>
      </c>
      <c r="R39" s="168" t="str">
        <f t="shared" si="18"/>
        <v>Jul-Sep</v>
      </c>
      <c r="S39" s="168">
        <f t="shared" si="13"/>
      </c>
      <c r="T39" s="187"/>
      <c r="U39" s="188"/>
    </row>
    <row r="40" spans="3:21" ht="10.5" thickBot="1">
      <c r="C40" s="166" t="s">
        <v>355</v>
      </c>
      <c r="D40" s="167" t="e">
        <f>RIGHT(m3Q_Q_Y,2)&amp;TEXT(m3Q_QBrDate,"MM")&amp;"AQ"</f>
        <v>#REF!</v>
      </c>
      <c r="H40" s="263"/>
      <c r="I40" s="190" t="s">
        <v>356</v>
      </c>
      <c r="J40" s="191" t="e">
        <f t="shared" si="16"/>
        <v>#REF!</v>
      </c>
      <c r="K40" s="192" t="str">
        <f>N24</f>
        <v>jan-dec</v>
      </c>
      <c r="L40" s="192" t="str">
        <f t="shared" si="17"/>
        <v>jan-mar</v>
      </c>
      <c r="M40" s="192" t="str">
        <f t="shared" si="17"/>
        <v>jan-jun</v>
      </c>
      <c r="N40" s="192" t="str">
        <f t="shared" si="17"/>
        <v>jan-sep</v>
      </c>
      <c r="O40" s="192" t="str">
        <f>R24</f>
        <v>Jan-Dec</v>
      </c>
      <c r="P40" s="192" t="str">
        <f t="shared" si="18"/>
        <v>Jan-Mar</v>
      </c>
      <c r="Q40" s="192" t="str">
        <f t="shared" si="18"/>
        <v>Jan-Jun</v>
      </c>
      <c r="R40" s="192" t="str">
        <f t="shared" si="18"/>
        <v>Jan-Sep</v>
      </c>
      <c r="S40" s="192">
        <f t="shared" si="13"/>
      </c>
      <c r="T40" s="193"/>
      <c r="U40" s="194"/>
    </row>
    <row r="41" spans="3:21" ht="13.5" customHeight="1" thickTop="1">
      <c r="C41" s="166" t="s">
        <v>357</v>
      </c>
      <c r="D41" s="167" t="e">
        <f>RIGHT(m4Q_Q_Y,2)&amp;TEXT(m4Q_QBrDate,"MM")&amp;"AQ"</f>
        <v>#REF!</v>
      </c>
      <c r="H41" s="261" t="s">
        <v>358</v>
      </c>
      <c r="I41" s="172" t="s">
        <v>359</v>
      </c>
      <c r="J41" s="173" t="e">
        <f t="shared" si="16"/>
        <v>#REF!</v>
      </c>
      <c r="K41" s="174">
        <f>N25</f>
        <v>3</v>
      </c>
      <c r="L41" s="174">
        <f t="shared" si="17"/>
        <v>4</v>
      </c>
      <c r="M41" s="174">
        <f t="shared" si="17"/>
        <v>1</v>
      </c>
      <c r="N41" s="174">
        <f t="shared" si="17"/>
        <v>2</v>
      </c>
      <c r="O41" s="174">
        <f>R25</f>
        <v>3</v>
      </c>
      <c r="P41" s="174">
        <f t="shared" si="18"/>
        <v>4</v>
      </c>
      <c r="Q41" s="174">
        <f t="shared" si="18"/>
        <v>1</v>
      </c>
      <c r="R41" s="174">
        <f t="shared" si="18"/>
        <v>2</v>
      </c>
      <c r="S41" s="174">
        <f t="shared" si="13"/>
      </c>
      <c r="T41" s="175"/>
      <c r="U41" s="176"/>
    </row>
    <row r="42" spans="3:21" ht="9.75">
      <c r="C42" s="166" t="s">
        <v>360</v>
      </c>
      <c r="D42" s="167" t="e">
        <f>RIGHT(m5Q_Q_Y,2)&amp;TEXT(m5Q_QBrDate,"MM")&amp;"AQ"</f>
        <v>#REF!</v>
      </c>
      <c r="H42" s="262"/>
      <c r="I42" s="146" t="s">
        <v>361</v>
      </c>
      <c r="J42" s="147" t="e">
        <f t="shared" si="16"/>
        <v>#REF!</v>
      </c>
      <c r="K42" s="148" t="str">
        <f aca="true" t="shared" si="19" ref="K42:R42">"Q"&amp;K41</f>
        <v>Q3</v>
      </c>
      <c r="L42" s="148" t="str">
        <f t="shared" si="19"/>
        <v>Q4</v>
      </c>
      <c r="M42" s="148" t="str">
        <f t="shared" si="19"/>
        <v>Q1</v>
      </c>
      <c r="N42" s="148" t="str">
        <f t="shared" si="19"/>
        <v>Q2</v>
      </c>
      <c r="O42" s="148" t="str">
        <f t="shared" si="19"/>
        <v>Q3</v>
      </c>
      <c r="P42" s="148" t="str">
        <f t="shared" si="19"/>
        <v>Q4</v>
      </c>
      <c r="Q42" s="148" t="str">
        <f t="shared" si="19"/>
        <v>Q1</v>
      </c>
      <c r="R42" s="148" t="str">
        <f t="shared" si="19"/>
        <v>Q2</v>
      </c>
      <c r="S42" s="148">
        <f t="shared" si="13"/>
      </c>
      <c r="T42" s="179"/>
      <c r="U42" s="180"/>
    </row>
    <row r="43" spans="3:21" ht="9.75">
      <c r="C43" s="166" t="s">
        <v>362</v>
      </c>
      <c r="D43" s="167" t="e">
        <f>RIGHT(m6Q_Q_Y,2)&amp;TEXT(m6Q_QBrDate,"MM")&amp;"AQ"</f>
        <v>#REF!</v>
      </c>
      <c r="H43" s="262"/>
      <c r="I43" s="146" t="s">
        <v>363</v>
      </c>
      <c r="J43" s="147" t="e">
        <f t="shared" si="16"/>
        <v>#REF!</v>
      </c>
      <c r="K43" s="148" t="e">
        <f>K42&amp;$S43&amp;ActYear_m1Y</f>
        <v>#REF!</v>
      </c>
      <c r="L43" s="148" t="e">
        <f aca="true" t="shared" si="20" ref="L43:N57">K27</f>
        <v>#REF!</v>
      </c>
      <c r="M43" s="148" t="e">
        <f t="shared" si="20"/>
        <v>#REF!</v>
      </c>
      <c r="N43" s="148" t="e">
        <f t="shared" si="20"/>
        <v>#REF!</v>
      </c>
      <c r="O43" s="148" t="e">
        <f>O42&amp;$S43&amp;ActYear_m1Y</f>
        <v>#REF!</v>
      </c>
      <c r="P43" s="148" t="e">
        <f>O27</f>
        <v>#REF!</v>
      </c>
      <c r="Q43" s="148" t="e">
        <f>P27</f>
        <v>#REF!</v>
      </c>
      <c r="R43" s="148" t="e">
        <f>Q27</f>
        <v>#REF!</v>
      </c>
      <c r="S43" s="148" t="str">
        <f t="shared" si="13"/>
        <v> </v>
      </c>
      <c r="T43" s="179"/>
      <c r="U43" s="180"/>
    </row>
    <row r="44" spans="3:21" ht="9.75">
      <c r="C44" s="166" t="s">
        <v>364</v>
      </c>
      <c r="D44" s="167" t="e">
        <f>RIGHT(m7Q_Q_Y,2)&amp;TEXT(m7Q_QBrDate,"MM")&amp;"AQ"</f>
        <v>#REF!</v>
      </c>
      <c r="H44" s="262"/>
      <c r="I44" s="146" t="s">
        <v>365</v>
      </c>
      <c r="J44" s="147" t="e">
        <f t="shared" si="16"/>
        <v>#REF!</v>
      </c>
      <c r="K44" s="148" t="e">
        <f>K42&amp;$S44&amp;ActY_m1Y</f>
        <v>#REF!</v>
      </c>
      <c r="L44" s="148" t="e">
        <f t="shared" si="20"/>
        <v>#REF!</v>
      </c>
      <c r="M44" s="148" t="e">
        <f t="shared" si="20"/>
        <v>#REF!</v>
      </c>
      <c r="N44" s="148" t="e">
        <f t="shared" si="20"/>
        <v>#REF!</v>
      </c>
      <c r="O44" s="148" t="e">
        <f>O42&amp;$S44&amp;ActY_m1Y</f>
        <v>#REF!</v>
      </c>
      <c r="P44" s="148" t="e">
        <f>O28</f>
        <v>#REF!</v>
      </c>
      <c r="Q44" s="148" t="e">
        <f>P27</f>
        <v>#REF!</v>
      </c>
      <c r="R44" s="148" t="e">
        <f>Q27</f>
        <v>#REF!</v>
      </c>
      <c r="S44" s="148" t="str">
        <f t="shared" si="13"/>
        <v> </v>
      </c>
      <c r="T44" s="179"/>
      <c r="U44" s="180"/>
    </row>
    <row r="45" spans="3:21" ht="9.75">
      <c r="C45" s="166" t="s">
        <v>366</v>
      </c>
      <c r="D45" s="167" t="e">
        <f>RIGHT(m8Q_Q_Y,2)&amp;TEXT(m8Q_QBrDate,"MM")&amp;"AQ"</f>
        <v>#REF!</v>
      </c>
      <c r="H45" s="262"/>
      <c r="I45" s="146" t="s">
        <v>367</v>
      </c>
      <c r="J45" s="147" t="e">
        <f t="shared" si="16"/>
        <v>#REF!</v>
      </c>
      <c r="K45" s="148" t="e">
        <f>K41&amp;$S45&amp;ActYear_m1Y</f>
        <v>#REF!</v>
      </c>
      <c r="L45" s="148" t="e">
        <f t="shared" si="20"/>
        <v>#REF!</v>
      </c>
      <c r="M45" s="148" t="e">
        <f t="shared" si="20"/>
        <v>#REF!</v>
      </c>
      <c r="N45" s="148" t="e">
        <f t="shared" si="20"/>
        <v>#REF!</v>
      </c>
      <c r="O45" s="148" t="e">
        <f>O41&amp;$S45&amp;ActYear_m1Y</f>
        <v>#REF!</v>
      </c>
      <c r="P45" s="148" t="e">
        <f>O29</f>
        <v>#REF!</v>
      </c>
      <c r="Q45" s="148" t="e">
        <f aca="true" t="shared" si="21" ref="Q45:R47">P29</f>
        <v>#REF!</v>
      </c>
      <c r="R45" s="148" t="e">
        <f t="shared" si="21"/>
        <v>#REF!</v>
      </c>
      <c r="S45" s="148" t="str">
        <f t="shared" si="13"/>
        <v> </v>
      </c>
      <c r="T45" s="179"/>
      <c r="U45" s="180"/>
    </row>
    <row r="46" spans="8:21" ht="10.5" thickBot="1">
      <c r="H46" s="262"/>
      <c r="I46" s="152" t="s">
        <v>368</v>
      </c>
      <c r="J46" s="153" t="e">
        <f t="shared" si="16"/>
        <v>#REF!</v>
      </c>
      <c r="K46" s="154" t="e">
        <f>K41&amp;$S46&amp;ActY_m1Y</f>
        <v>#REF!</v>
      </c>
      <c r="L46" s="154" t="e">
        <f t="shared" si="20"/>
        <v>#REF!</v>
      </c>
      <c r="M46" s="154" t="e">
        <f t="shared" si="20"/>
        <v>#REF!</v>
      </c>
      <c r="N46" s="154" t="e">
        <f t="shared" si="20"/>
        <v>#REF!</v>
      </c>
      <c r="O46" s="154" t="e">
        <f>O41&amp;$S46&amp;ActY_m1Y</f>
        <v>#REF!</v>
      </c>
      <c r="P46" s="154" t="e">
        <f>O30</f>
        <v>#REF!</v>
      </c>
      <c r="Q46" s="154" t="e">
        <f t="shared" si="21"/>
        <v>#REF!</v>
      </c>
      <c r="R46" s="154" t="e">
        <f t="shared" si="21"/>
        <v>#REF!</v>
      </c>
      <c r="S46" s="154" t="str">
        <f t="shared" si="13"/>
        <v> </v>
      </c>
      <c r="T46" s="184"/>
      <c r="U46" s="185"/>
    </row>
    <row r="47" spans="8:21" ht="9.75">
      <c r="H47" s="262"/>
      <c r="I47" s="158" t="s">
        <v>369</v>
      </c>
      <c r="J47" s="159" t="e">
        <f t="shared" si="16"/>
        <v>#REF!</v>
      </c>
      <c r="K47" s="186" t="str">
        <f>N31</f>
        <v>09</v>
      </c>
      <c r="L47" s="186" t="str">
        <f t="shared" si="20"/>
        <v>12</v>
      </c>
      <c r="M47" s="186" t="str">
        <f t="shared" si="20"/>
        <v>03</v>
      </c>
      <c r="N47" s="186" t="str">
        <f t="shared" si="20"/>
        <v>06</v>
      </c>
      <c r="O47" s="186" t="str">
        <f>R31</f>
        <v>09</v>
      </c>
      <c r="P47" s="186" t="str">
        <f>O31</f>
        <v>12</v>
      </c>
      <c r="Q47" s="186" t="str">
        <f t="shared" si="21"/>
        <v>03</v>
      </c>
      <c r="R47" s="186" t="str">
        <f t="shared" si="21"/>
        <v>06</v>
      </c>
      <c r="S47" s="168">
        <f t="shared" si="13"/>
      </c>
      <c r="T47" s="187"/>
      <c r="U47" s="188"/>
    </row>
    <row r="48" spans="3:21" ht="10.5" thickBot="1">
      <c r="C48" s="166" t="s">
        <v>370</v>
      </c>
      <c r="D48" s="167" t="e">
        <f>RIGHT(ActQ_Y,2)&amp;TEXT(ActQBrDate,"MM")&amp;"AC"</f>
        <v>#REF!</v>
      </c>
      <c r="H48" s="262"/>
      <c r="I48" s="152" t="s">
        <v>371</v>
      </c>
      <c r="J48" s="153" t="e">
        <f t="shared" si="16"/>
        <v>#REF!</v>
      </c>
      <c r="K48" s="154" t="e">
        <f>ActYear_m1Y&amp;$S48&amp;K47</f>
        <v>#REF!</v>
      </c>
      <c r="L48" s="154" t="e">
        <f t="shared" si="20"/>
        <v>#REF!</v>
      </c>
      <c r="M48" s="154" t="e">
        <f t="shared" si="20"/>
        <v>#REF!</v>
      </c>
      <c r="N48" s="154" t="e">
        <f t="shared" si="20"/>
        <v>#REF!</v>
      </c>
      <c r="O48" s="154" t="e">
        <f>ActYear_m1Y&amp;$S48&amp;O47</f>
        <v>#REF!</v>
      </c>
      <c r="P48" s="154" t="e">
        <f aca="true" t="shared" si="22" ref="P48:R57">O32</f>
        <v>#REF!</v>
      </c>
      <c r="Q48" s="154" t="e">
        <f t="shared" si="22"/>
        <v>#REF!</v>
      </c>
      <c r="R48" s="154" t="e">
        <f t="shared" si="22"/>
        <v>#REF!</v>
      </c>
      <c r="S48" s="154" t="str">
        <f t="shared" si="13"/>
        <v> </v>
      </c>
      <c r="T48" s="184"/>
      <c r="U48" s="185"/>
    </row>
    <row r="49" spans="3:21" ht="9.75">
      <c r="C49" s="166" t="s">
        <v>372</v>
      </c>
      <c r="D49" s="167" t="e">
        <f>RIGHT(m1Q_Q_Y,2)&amp;TEXT(m1Q_QBrDate,"MM")&amp;"AC"</f>
        <v>#REF!</v>
      </c>
      <c r="H49" s="262"/>
      <c r="I49" s="158" t="s">
        <v>373</v>
      </c>
      <c r="J49" s="159" t="e">
        <f t="shared" si="16"/>
        <v>#REF!</v>
      </c>
      <c r="K49" s="168" t="str">
        <f>N33</f>
        <v>30 sep.</v>
      </c>
      <c r="L49" s="168" t="str">
        <f t="shared" si="20"/>
        <v>31 dec.</v>
      </c>
      <c r="M49" s="168" t="str">
        <f t="shared" si="20"/>
        <v>31 mar.</v>
      </c>
      <c r="N49" s="168" t="str">
        <f t="shared" si="20"/>
        <v>30 jun.</v>
      </c>
      <c r="O49" s="168" t="str">
        <f>R33</f>
        <v>Sep. 30</v>
      </c>
      <c r="P49" s="168" t="str">
        <f t="shared" si="22"/>
        <v>Dec. 31</v>
      </c>
      <c r="Q49" s="168" t="str">
        <f t="shared" si="22"/>
        <v>Mar. 31</v>
      </c>
      <c r="R49" s="168" t="str">
        <f t="shared" si="22"/>
        <v>Jun. 30</v>
      </c>
      <c r="S49" s="168">
        <f t="shared" si="13"/>
      </c>
      <c r="T49" s="187"/>
      <c r="U49" s="188"/>
    </row>
    <row r="50" spans="3:21" ht="9.75">
      <c r="C50" s="166" t="s">
        <v>374</v>
      </c>
      <c r="D50" s="167" t="e">
        <f>RIGHT(m2Q_Q_Y,2)&amp;TEXT(m2Q_QBrDate,"MM")&amp;"AC"</f>
        <v>#REF!</v>
      </c>
      <c r="H50" s="262"/>
      <c r="I50" s="146" t="s">
        <v>375</v>
      </c>
      <c r="J50" s="164" t="e">
        <f t="shared" si="16"/>
        <v>#REF!</v>
      </c>
      <c r="K50" s="165" t="e">
        <f>_XLL.SLUTMÅNAD(DATE(ActYear_m1Y,K47,1),0)</f>
        <v>#NAME?</v>
      </c>
      <c r="L50" s="165" t="e">
        <f t="shared" si="20"/>
        <v>#NAME?</v>
      </c>
      <c r="M50" s="165" t="e">
        <f t="shared" si="20"/>
        <v>#NAME?</v>
      </c>
      <c r="N50" s="165" t="e">
        <f t="shared" si="20"/>
        <v>#NAME?</v>
      </c>
      <c r="O50" s="165" t="e">
        <f>_XLL.SLUTMÅNAD(DATE(ActYear_m1Y,O47,1),0)</f>
        <v>#NAME?</v>
      </c>
      <c r="P50" s="165" t="e">
        <f t="shared" si="22"/>
        <v>#NAME?</v>
      </c>
      <c r="Q50" s="165" t="e">
        <f t="shared" si="22"/>
        <v>#NAME?</v>
      </c>
      <c r="R50" s="165" t="e">
        <f t="shared" si="22"/>
        <v>#NAME?</v>
      </c>
      <c r="S50" s="148">
        <f t="shared" si="13"/>
      </c>
      <c r="T50" s="179"/>
      <c r="U50" s="180"/>
    </row>
    <row r="51" spans="3:21" ht="9.75">
      <c r="C51" s="166" t="s">
        <v>376</v>
      </c>
      <c r="D51" s="167" t="e">
        <f>RIGHT(m3Q_Q_Y,2)&amp;TEXT(m3Q_QBrDate,"MM")&amp;"AC"</f>
        <v>#REF!</v>
      </c>
      <c r="H51" s="262"/>
      <c r="I51" s="146" t="s">
        <v>377</v>
      </c>
      <c r="J51" s="147" t="e">
        <f t="shared" si="16"/>
        <v>#REF!</v>
      </c>
      <c r="K51" s="148" t="e">
        <f>K49&amp;$S51&amp;ActYear_m1Y</f>
        <v>#REF!</v>
      </c>
      <c r="L51" s="148" t="e">
        <f t="shared" si="20"/>
        <v>#REF!</v>
      </c>
      <c r="M51" s="148" t="e">
        <f t="shared" si="20"/>
        <v>#REF!</v>
      </c>
      <c r="N51" s="148" t="e">
        <f t="shared" si="20"/>
        <v>#REF!</v>
      </c>
      <c r="O51" s="148" t="e">
        <f>O49&amp;","&amp;$S51&amp;ActYear_m1Y</f>
        <v>#REF!</v>
      </c>
      <c r="P51" s="148" t="e">
        <f t="shared" si="22"/>
        <v>#REF!</v>
      </c>
      <c r="Q51" s="148" t="e">
        <f t="shared" si="22"/>
        <v>#REF!</v>
      </c>
      <c r="R51" s="148" t="e">
        <f t="shared" si="22"/>
        <v>#REF!</v>
      </c>
      <c r="S51" s="148" t="str">
        <f t="shared" si="13"/>
        <v> </v>
      </c>
      <c r="T51" s="179"/>
      <c r="U51" s="180"/>
    </row>
    <row r="52" spans="3:21" ht="10.5" thickBot="1">
      <c r="C52" s="166" t="s">
        <v>378</v>
      </c>
      <c r="D52" s="167" t="e">
        <f>RIGHT(m4Q_Q_Y,2)&amp;TEXT(m4Q_QBrDate,"MM")&amp;"AC"</f>
        <v>#REF!</v>
      </c>
      <c r="H52" s="262"/>
      <c r="I52" s="152" t="s">
        <v>379</v>
      </c>
      <c r="J52" s="153" t="e">
        <f t="shared" si="16"/>
        <v>#REF!</v>
      </c>
      <c r="K52" s="154" t="e">
        <f>K49&amp;$S52&amp;ActY_m1Y</f>
        <v>#REF!</v>
      </c>
      <c r="L52" s="154" t="e">
        <f t="shared" si="20"/>
        <v>#REF!</v>
      </c>
      <c r="M52" s="154" t="e">
        <f t="shared" si="20"/>
        <v>#REF!</v>
      </c>
      <c r="N52" s="154" t="e">
        <f t="shared" si="20"/>
        <v>#REF!</v>
      </c>
      <c r="O52" s="154" t="e">
        <f>O49&amp;$S52&amp;ActY_m1Y</f>
        <v>#REF!</v>
      </c>
      <c r="P52" s="154" t="e">
        <f t="shared" si="22"/>
        <v>#REF!</v>
      </c>
      <c r="Q52" s="154" t="e">
        <f t="shared" si="22"/>
        <v>#REF!</v>
      </c>
      <c r="R52" s="154" t="e">
        <f t="shared" si="22"/>
        <v>#REF!</v>
      </c>
      <c r="S52" s="154" t="str">
        <f t="shared" si="13"/>
        <v> </v>
      </c>
      <c r="T52" s="184"/>
      <c r="U52" s="185"/>
    </row>
    <row r="53" spans="3:21" ht="9.75">
      <c r="C53" s="166" t="s">
        <v>380</v>
      </c>
      <c r="D53" s="167" t="e">
        <f>ActY_m1Y&amp;TEXT(FullYearBrDate_1Y,"MM")&amp;"AC"</f>
        <v>#REF!</v>
      </c>
      <c r="H53" s="262"/>
      <c r="I53" s="158" t="s">
        <v>381</v>
      </c>
      <c r="J53" s="159" t="e">
        <f t="shared" si="16"/>
        <v>#REF!</v>
      </c>
      <c r="K53" s="168" t="e">
        <f>K55&amp;$S53&amp;ActYear_m1Y</f>
        <v>#REF!</v>
      </c>
      <c r="L53" s="168" t="e">
        <f t="shared" si="20"/>
        <v>#REF!</v>
      </c>
      <c r="M53" s="168" t="e">
        <f t="shared" si="20"/>
        <v>#REF!</v>
      </c>
      <c r="N53" s="168" t="e">
        <f t="shared" si="20"/>
        <v>#REF!</v>
      </c>
      <c r="O53" s="168" t="e">
        <f>O55&amp;$S53&amp;ActYear_m1Y</f>
        <v>#REF!</v>
      </c>
      <c r="P53" s="168" t="e">
        <f t="shared" si="22"/>
        <v>#REF!</v>
      </c>
      <c r="Q53" s="168" t="e">
        <f t="shared" si="22"/>
        <v>#REF!</v>
      </c>
      <c r="R53" s="168" t="e">
        <f t="shared" si="22"/>
        <v>#REF!</v>
      </c>
      <c r="S53" s="168" t="str">
        <f t="shared" si="13"/>
        <v> </v>
      </c>
      <c r="T53" s="187"/>
      <c r="U53" s="188"/>
    </row>
    <row r="54" spans="3:21" ht="10.5" thickBot="1">
      <c r="C54" s="166" t="s">
        <v>382</v>
      </c>
      <c r="D54" s="167" t="e">
        <f>RIGHT(m5Q_Q_Y,2)&amp;TEXT(m5Q_QBrDate,"MM")&amp;"AC"</f>
        <v>#REF!</v>
      </c>
      <c r="H54" s="262"/>
      <c r="I54" s="152" t="s">
        <v>383</v>
      </c>
      <c r="J54" s="153" t="e">
        <f t="shared" si="16"/>
        <v>#REF!</v>
      </c>
      <c r="K54" s="154" t="e">
        <f>K55&amp;$S53&amp;ActY_m1Y</f>
        <v>#REF!</v>
      </c>
      <c r="L54" s="154" t="e">
        <f t="shared" si="20"/>
        <v>#REF!</v>
      </c>
      <c r="M54" s="154" t="e">
        <f t="shared" si="20"/>
        <v>#REF!</v>
      </c>
      <c r="N54" s="154" t="e">
        <f t="shared" si="20"/>
        <v>#REF!</v>
      </c>
      <c r="O54" s="154" t="e">
        <f>O55&amp;$S53&amp;ActY_m1Y</f>
        <v>#REF!</v>
      </c>
      <c r="P54" s="154" t="e">
        <f t="shared" si="22"/>
        <v>#REF!</v>
      </c>
      <c r="Q54" s="154" t="e">
        <f t="shared" si="22"/>
        <v>#REF!</v>
      </c>
      <c r="R54" s="154" t="e">
        <f t="shared" si="22"/>
        <v>#REF!</v>
      </c>
      <c r="S54" s="154">
        <f t="shared" si="13"/>
      </c>
      <c r="T54" s="184"/>
      <c r="U54" s="185"/>
    </row>
    <row r="55" spans="3:21" ht="9.75">
      <c r="C55" s="166" t="s">
        <v>384</v>
      </c>
      <c r="D55" s="167" t="e">
        <f>RIGHT(m6Q_Q_Y,2)&amp;TEXT(m6Q_QBrDate,"MM")&amp;"AC"</f>
        <v>#REF!</v>
      </c>
      <c r="H55" s="262"/>
      <c r="I55" s="158" t="s">
        <v>385</v>
      </c>
      <c r="J55" s="159" t="e">
        <f t="shared" si="16"/>
        <v>#REF!</v>
      </c>
      <c r="K55" s="168" t="str">
        <f>N39</f>
        <v>jul-sep</v>
      </c>
      <c r="L55" s="168" t="str">
        <f t="shared" si="20"/>
        <v>okt-dec</v>
      </c>
      <c r="M55" s="168" t="str">
        <f t="shared" si="20"/>
        <v>jan-mar</v>
      </c>
      <c r="N55" s="168" t="str">
        <f t="shared" si="20"/>
        <v>apr-jun</v>
      </c>
      <c r="O55" s="168" t="str">
        <f>R39</f>
        <v>Jul-Sep</v>
      </c>
      <c r="P55" s="168" t="str">
        <f t="shared" si="22"/>
        <v>Oct-Dec</v>
      </c>
      <c r="Q55" s="168" t="str">
        <f t="shared" si="22"/>
        <v>Jan-Mar</v>
      </c>
      <c r="R55" s="168" t="str">
        <f t="shared" si="22"/>
        <v>Apr-Jun</v>
      </c>
      <c r="S55" s="168">
        <f t="shared" si="13"/>
      </c>
      <c r="T55" s="187"/>
      <c r="U55" s="188"/>
    </row>
    <row r="56" spans="3:21" ht="10.5" thickBot="1">
      <c r="C56" s="166" t="s">
        <v>386</v>
      </c>
      <c r="D56" s="167" t="e">
        <f>RIGHT(m7Q_Q_Y,2)&amp;TEXT(m7Q_QBrDate,"MM")&amp;"AC"</f>
        <v>#REF!</v>
      </c>
      <c r="H56" s="263"/>
      <c r="I56" s="190" t="s">
        <v>387</v>
      </c>
      <c r="J56" s="191" t="e">
        <f t="shared" si="16"/>
        <v>#REF!</v>
      </c>
      <c r="K56" s="192" t="str">
        <f>N40</f>
        <v>jan-sep</v>
      </c>
      <c r="L56" s="192" t="str">
        <f t="shared" si="20"/>
        <v>jan-dec</v>
      </c>
      <c r="M56" s="192" t="str">
        <f t="shared" si="20"/>
        <v>jan-mar</v>
      </c>
      <c r="N56" s="192" t="str">
        <f t="shared" si="20"/>
        <v>jan-jun</v>
      </c>
      <c r="O56" s="192" t="str">
        <f>R40</f>
        <v>Jan-Sep</v>
      </c>
      <c r="P56" s="192" t="str">
        <f t="shared" si="22"/>
        <v>Jan-Dec</v>
      </c>
      <c r="Q56" s="192" t="str">
        <f t="shared" si="22"/>
        <v>Jan-Mar</v>
      </c>
      <c r="R56" s="192" t="str">
        <f t="shared" si="22"/>
        <v>Jan-Jun</v>
      </c>
      <c r="S56" s="192">
        <f t="shared" si="13"/>
      </c>
      <c r="T56" s="193"/>
      <c r="U56" s="194"/>
    </row>
    <row r="57" spans="3:21" ht="10.5" thickTop="1">
      <c r="C57" s="166" t="s">
        <v>388</v>
      </c>
      <c r="D57" s="167" t="e">
        <f>RIGHT(m8Q_Q_Y,2)&amp;TEXT(m8Q_QBrDate,"MM")&amp;"AC"</f>
        <v>#REF!</v>
      </c>
      <c r="H57" s="261" t="s">
        <v>389</v>
      </c>
      <c r="I57" s="172" t="s">
        <v>390</v>
      </c>
      <c r="J57" s="173" t="e">
        <f t="shared" si="16"/>
        <v>#REF!</v>
      </c>
      <c r="K57" s="174">
        <f>N41</f>
        <v>2</v>
      </c>
      <c r="L57" s="174">
        <f t="shared" si="20"/>
        <v>3</v>
      </c>
      <c r="M57" s="174">
        <f t="shared" si="20"/>
        <v>4</v>
      </c>
      <c r="N57" s="174">
        <f t="shared" si="20"/>
        <v>1</v>
      </c>
      <c r="O57" s="174">
        <f>R41</f>
        <v>2</v>
      </c>
      <c r="P57" s="174">
        <f t="shared" si="22"/>
        <v>3</v>
      </c>
      <c r="Q57" s="174">
        <f t="shared" si="22"/>
        <v>4</v>
      </c>
      <c r="R57" s="174">
        <f t="shared" si="22"/>
        <v>1</v>
      </c>
      <c r="S57" s="174">
        <f t="shared" si="13"/>
      </c>
      <c r="T57" s="175"/>
      <c r="U57" s="176"/>
    </row>
    <row r="58" spans="3:21" ht="9.75">
      <c r="C58" s="166" t="s">
        <v>391</v>
      </c>
      <c r="D58" s="167" t="e">
        <f>ActY_m2Y&amp;TEXT(FullYearBrDate_1Y,"MM")&amp;"AC"</f>
        <v>#REF!</v>
      </c>
      <c r="H58" s="262"/>
      <c r="I58" s="146" t="s">
        <v>392</v>
      </c>
      <c r="J58" s="147" t="e">
        <f t="shared" si="16"/>
        <v>#REF!</v>
      </c>
      <c r="K58" s="148" t="str">
        <f aca="true" t="shared" si="23" ref="K58:R58">"Q"&amp;K57</f>
        <v>Q2</v>
      </c>
      <c r="L58" s="148" t="str">
        <f t="shared" si="23"/>
        <v>Q3</v>
      </c>
      <c r="M58" s="148" t="str">
        <f t="shared" si="23"/>
        <v>Q4</v>
      </c>
      <c r="N58" s="148" t="str">
        <f t="shared" si="23"/>
        <v>Q1</v>
      </c>
      <c r="O58" s="148" t="str">
        <f t="shared" si="23"/>
        <v>Q2</v>
      </c>
      <c r="P58" s="148" t="str">
        <f t="shared" si="23"/>
        <v>Q3</v>
      </c>
      <c r="Q58" s="148" t="str">
        <f t="shared" si="23"/>
        <v>Q4</v>
      </c>
      <c r="R58" s="148" t="str">
        <f t="shared" si="23"/>
        <v>Q1</v>
      </c>
      <c r="S58" s="148">
        <f t="shared" si="13"/>
      </c>
      <c r="T58" s="179"/>
      <c r="U58" s="180"/>
    </row>
    <row r="59" spans="8:21" ht="9.75">
      <c r="H59" s="262"/>
      <c r="I59" s="146" t="s">
        <v>393</v>
      </c>
      <c r="J59" s="147" t="e">
        <f t="shared" si="16"/>
        <v>#REF!</v>
      </c>
      <c r="K59" s="148" t="e">
        <f>K58&amp;$S59&amp;ActYear_m1Y</f>
        <v>#REF!</v>
      </c>
      <c r="L59" s="148" t="e">
        <f aca="true" t="shared" si="24" ref="L59:N73">K43</f>
        <v>#REF!</v>
      </c>
      <c r="M59" s="148" t="e">
        <f t="shared" si="24"/>
        <v>#REF!</v>
      </c>
      <c r="N59" s="148" t="e">
        <f t="shared" si="24"/>
        <v>#REF!</v>
      </c>
      <c r="O59" s="148" t="e">
        <f>O58&amp;$S59&amp;ActYear_m1Y</f>
        <v>#REF!</v>
      </c>
      <c r="P59" s="148" t="e">
        <f>O43</f>
        <v>#REF!</v>
      </c>
      <c r="Q59" s="148" t="e">
        <f>P43</f>
        <v>#REF!</v>
      </c>
      <c r="R59" s="148" t="e">
        <f>Q43</f>
        <v>#REF!</v>
      </c>
      <c r="S59" s="148" t="str">
        <f t="shared" si="13"/>
        <v> </v>
      </c>
      <c r="T59" s="179"/>
      <c r="U59" s="180"/>
    </row>
    <row r="60" spans="8:21" ht="9.75">
      <c r="H60" s="262"/>
      <c r="I60" s="146" t="s">
        <v>394</v>
      </c>
      <c r="J60" s="147" t="e">
        <f t="shared" si="16"/>
        <v>#REF!</v>
      </c>
      <c r="K60" s="148" t="e">
        <f>K58&amp;$S60&amp;ActY_m1Y</f>
        <v>#REF!</v>
      </c>
      <c r="L60" s="148" t="e">
        <f t="shared" si="24"/>
        <v>#REF!</v>
      </c>
      <c r="M60" s="148" t="e">
        <f t="shared" si="24"/>
        <v>#REF!</v>
      </c>
      <c r="N60" s="148" t="e">
        <f t="shared" si="24"/>
        <v>#REF!</v>
      </c>
      <c r="O60" s="148" t="e">
        <f>O58&amp;$S60&amp;ActY_m1Y</f>
        <v>#REF!</v>
      </c>
      <c r="P60" s="148" t="e">
        <f aca="true" t="shared" si="25" ref="P60:R73">O44</f>
        <v>#REF!</v>
      </c>
      <c r="Q60" s="148" t="e">
        <f>P43</f>
        <v>#REF!</v>
      </c>
      <c r="R60" s="148" t="e">
        <f>Q43</f>
        <v>#REF!</v>
      </c>
      <c r="S60" s="148" t="str">
        <f t="shared" si="13"/>
        <v> </v>
      </c>
      <c r="T60" s="179"/>
      <c r="U60" s="180"/>
    </row>
    <row r="61" spans="8:21" ht="9.75">
      <c r="H61" s="262"/>
      <c r="I61" s="146" t="s">
        <v>395</v>
      </c>
      <c r="J61" s="147" t="e">
        <f t="shared" si="16"/>
        <v>#REF!</v>
      </c>
      <c r="K61" s="148" t="e">
        <f>K57&amp;$S61&amp;ActYear_m1Y</f>
        <v>#REF!</v>
      </c>
      <c r="L61" s="148" t="e">
        <f t="shared" si="24"/>
        <v>#REF!</v>
      </c>
      <c r="M61" s="148" t="e">
        <f t="shared" si="24"/>
        <v>#REF!</v>
      </c>
      <c r="N61" s="148" t="e">
        <f t="shared" si="24"/>
        <v>#REF!</v>
      </c>
      <c r="O61" s="148" t="e">
        <f>O57&amp;$S61&amp;ActYear_m1Y</f>
        <v>#REF!</v>
      </c>
      <c r="P61" s="148" t="e">
        <f t="shared" si="25"/>
        <v>#REF!</v>
      </c>
      <c r="Q61" s="148" t="e">
        <f t="shared" si="25"/>
        <v>#REF!</v>
      </c>
      <c r="R61" s="148" t="e">
        <f t="shared" si="25"/>
        <v>#REF!</v>
      </c>
      <c r="S61" s="148" t="str">
        <f t="shared" si="13"/>
        <v> </v>
      </c>
      <c r="T61" s="179"/>
      <c r="U61" s="180"/>
    </row>
    <row r="62" spans="8:21" ht="10.5" thickBot="1">
      <c r="H62" s="262"/>
      <c r="I62" s="152" t="s">
        <v>396</v>
      </c>
      <c r="J62" s="153" t="e">
        <f t="shared" si="16"/>
        <v>#REF!</v>
      </c>
      <c r="K62" s="154" t="e">
        <f>K57&amp;$S62&amp;ActY_m1Y</f>
        <v>#REF!</v>
      </c>
      <c r="L62" s="154" t="e">
        <f t="shared" si="24"/>
        <v>#REF!</v>
      </c>
      <c r="M62" s="154" t="e">
        <f t="shared" si="24"/>
        <v>#REF!</v>
      </c>
      <c r="N62" s="154" t="e">
        <f t="shared" si="24"/>
        <v>#REF!</v>
      </c>
      <c r="O62" s="154" t="e">
        <f>O57&amp;$S62&amp;ActY_m1Y</f>
        <v>#REF!</v>
      </c>
      <c r="P62" s="154" t="e">
        <f t="shared" si="25"/>
        <v>#REF!</v>
      </c>
      <c r="Q62" s="154" t="e">
        <f t="shared" si="25"/>
        <v>#REF!</v>
      </c>
      <c r="R62" s="154" t="e">
        <f t="shared" si="25"/>
        <v>#REF!</v>
      </c>
      <c r="S62" s="154" t="str">
        <f t="shared" si="13"/>
        <v> </v>
      </c>
      <c r="T62" s="184"/>
      <c r="U62" s="185"/>
    </row>
    <row r="63" spans="8:21" ht="9.75">
      <c r="H63" s="262"/>
      <c r="I63" s="158" t="s">
        <v>397</v>
      </c>
      <c r="J63" s="159" t="e">
        <f t="shared" si="16"/>
        <v>#REF!</v>
      </c>
      <c r="K63" s="186" t="str">
        <f>N47</f>
        <v>06</v>
      </c>
      <c r="L63" s="186" t="str">
        <f t="shared" si="24"/>
        <v>09</v>
      </c>
      <c r="M63" s="186" t="str">
        <f t="shared" si="24"/>
        <v>12</v>
      </c>
      <c r="N63" s="186" t="str">
        <f t="shared" si="24"/>
        <v>03</v>
      </c>
      <c r="O63" s="186" t="str">
        <f>R47</f>
        <v>06</v>
      </c>
      <c r="P63" s="186" t="str">
        <f t="shared" si="25"/>
        <v>09</v>
      </c>
      <c r="Q63" s="186" t="str">
        <f t="shared" si="25"/>
        <v>12</v>
      </c>
      <c r="R63" s="186" t="str">
        <f t="shared" si="25"/>
        <v>03</v>
      </c>
      <c r="S63" s="168">
        <f t="shared" si="13"/>
      </c>
      <c r="T63" s="187"/>
      <c r="U63" s="188"/>
    </row>
    <row r="64" spans="8:21" ht="10.5" thickBot="1">
      <c r="H64" s="262"/>
      <c r="I64" s="152" t="s">
        <v>398</v>
      </c>
      <c r="J64" s="153" t="e">
        <f t="shared" si="16"/>
        <v>#REF!</v>
      </c>
      <c r="K64" s="154" t="e">
        <f>ActYear_m1Y&amp;$S64&amp;K63</f>
        <v>#REF!</v>
      </c>
      <c r="L64" s="154" t="e">
        <f t="shared" si="24"/>
        <v>#REF!</v>
      </c>
      <c r="M64" s="154" t="e">
        <f t="shared" si="24"/>
        <v>#REF!</v>
      </c>
      <c r="N64" s="154" t="e">
        <f t="shared" si="24"/>
        <v>#REF!</v>
      </c>
      <c r="O64" s="154" t="e">
        <f>ActYear_m1Y&amp;$S64&amp;O63</f>
        <v>#REF!</v>
      </c>
      <c r="P64" s="154" t="e">
        <f t="shared" si="25"/>
        <v>#REF!</v>
      </c>
      <c r="Q64" s="154" t="e">
        <f t="shared" si="25"/>
        <v>#REF!</v>
      </c>
      <c r="R64" s="154" t="e">
        <f t="shared" si="25"/>
        <v>#REF!</v>
      </c>
      <c r="S64" s="154" t="str">
        <f t="shared" si="13"/>
        <v> </v>
      </c>
      <c r="T64" s="184"/>
      <c r="U64" s="185"/>
    </row>
    <row r="65" spans="8:21" ht="9.75">
      <c r="H65" s="262"/>
      <c r="I65" s="158" t="s">
        <v>399</v>
      </c>
      <c r="J65" s="159" t="e">
        <f t="shared" si="16"/>
        <v>#REF!</v>
      </c>
      <c r="K65" s="168" t="str">
        <f>N49</f>
        <v>30 jun.</v>
      </c>
      <c r="L65" s="168" t="str">
        <f t="shared" si="24"/>
        <v>30 sep.</v>
      </c>
      <c r="M65" s="168" t="str">
        <f t="shared" si="24"/>
        <v>31 dec.</v>
      </c>
      <c r="N65" s="168" t="str">
        <f t="shared" si="24"/>
        <v>31 mar.</v>
      </c>
      <c r="O65" s="168" t="str">
        <f>R49</f>
        <v>Jun. 30</v>
      </c>
      <c r="P65" s="168" t="str">
        <f t="shared" si="25"/>
        <v>Sep. 30</v>
      </c>
      <c r="Q65" s="168" t="str">
        <f t="shared" si="25"/>
        <v>Dec. 31</v>
      </c>
      <c r="R65" s="168" t="str">
        <f t="shared" si="25"/>
        <v>Mar. 31</v>
      </c>
      <c r="S65" s="168">
        <f t="shared" si="13"/>
      </c>
      <c r="T65" s="187"/>
      <c r="U65" s="188"/>
    </row>
    <row r="66" spans="8:21" ht="9.75">
      <c r="H66" s="262"/>
      <c r="I66" s="146" t="s">
        <v>400</v>
      </c>
      <c r="J66" s="164" t="e">
        <f t="shared" si="16"/>
        <v>#REF!</v>
      </c>
      <c r="K66" s="165" t="e">
        <f>_XLL.SLUTMÅNAD(DATE(ActYear_m1Y,K63,1),0)</f>
        <v>#NAME?</v>
      </c>
      <c r="L66" s="165" t="e">
        <f t="shared" si="24"/>
        <v>#NAME?</v>
      </c>
      <c r="M66" s="165" t="e">
        <f t="shared" si="24"/>
        <v>#NAME?</v>
      </c>
      <c r="N66" s="165" t="e">
        <f t="shared" si="24"/>
        <v>#NAME?</v>
      </c>
      <c r="O66" s="165" t="e">
        <f>_XLL.SLUTMÅNAD(DATE(ActYear_m1Y,O63,1),0)</f>
        <v>#NAME?</v>
      </c>
      <c r="P66" s="165" t="e">
        <f t="shared" si="25"/>
        <v>#NAME?</v>
      </c>
      <c r="Q66" s="165" t="e">
        <f t="shared" si="25"/>
        <v>#NAME?</v>
      </c>
      <c r="R66" s="165" t="e">
        <f t="shared" si="25"/>
        <v>#NAME?</v>
      </c>
      <c r="S66" s="148">
        <f t="shared" si="13"/>
      </c>
      <c r="T66" s="179"/>
      <c r="U66" s="180"/>
    </row>
    <row r="67" spans="8:21" ht="9.75">
      <c r="H67" s="262"/>
      <c r="I67" s="146" t="s">
        <v>401</v>
      </c>
      <c r="J67" s="147" t="e">
        <f t="shared" si="16"/>
        <v>#REF!</v>
      </c>
      <c r="K67" s="148" t="e">
        <f>K65&amp;$S67&amp;ActYear_m1Y</f>
        <v>#REF!</v>
      </c>
      <c r="L67" s="148" t="e">
        <f t="shared" si="24"/>
        <v>#REF!</v>
      </c>
      <c r="M67" s="148" t="e">
        <f t="shared" si="24"/>
        <v>#REF!</v>
      </c>
      <c r="N67" s="148" t="e">
        <f t="shared" si="24"/>
        <v>#REF!</v>
      </c>
      <c r="O67" s="148" t="e">
        <f>O65&amp;","&amp;$S67&amp;ActYear_m1Y</f>
        <v>#REF!</v>
      </c>
      <c r="P67" s="148" t="e">
        <f>O51</f>
        <v>#REF!</v>
      </c>
      <c r="Q67" s="148" t="e">
        <f>P51</f>
        <v>#REF!</v>
      </c>
      <c r="R67" s="148" t="e">
        <f t="shared" si="25"/>
        <v>#REF!</v>
      </c>
      <c r="S67" s="148" t="str">
        <f t="shared" si="13"/>
        <v> </v>
      </c>
      <c r="T67" s="179"/>
      <c r="U67" s="180"/>
    </row>
    <row r="68" spans="8:21" ht="10.5" thickBot="1">
      <c r="H68" s="262"/>
      <c r="I68" s="152" t="s">
        <v>402</v>
      </c>
      <c r="J68" s="153" t="e">
        <f t="shared" si="16"/>
        <v>#REF!</v>
      </c>
      <c r="K68" s="154" t="e">
        <f>K65&amp;$S68&amp;ActY_m1Y</f>
        <v>#REF!</v>
      </c>
      <c r="L68" s="154" t="e">
        <f t="shared" si="24"/>
        <v>#REF!</v>
      </c>
      <c r="M68" s="154" t="e">
        <f t="shared" si="24"/>
        <v>#REF!</v>
      </c>
      <c r="N68" s="154" t="e">
        <f t="shared" si="24"/>
        <v>#REF!</v>
      </c>
      <c r="O68" s="154" t="e">
        <f>O65&amp;$S68&amp;ActY_m1Y</f>
        <v>#REF!</v>
      </c>
      <c r="P68" s="154" t="e">
        <f t="shared" si="25"/>
        <v>#REF!</v>
      </c>
      <c r="Q68" s="154" t="e">
        <f t="shared" si="25"/>
        <v>#REF!</v>
      </c>
      <c r="R68" s="154" t="e">
        <f t="shared" si="25"/>
        <v>#REF!</v>
      </c>
      <c r="S68" s="154" t="str">
        <f t="shared" si="13"/>
        <v> </v>
      </c>
      <c r="T68" s="184"/>
      <c r="U68" s="185"/>
    </row>
    <row r="69" spans="8:21" ht="9.75">
      <c r="H69" s="262"/>
      <c r="I69" s="158" t="s">
        <v>403</v>
      </c>
      <c r="J69" s="159" t="e">
        <f t="shared" si="16"/>
        <v>#REF!</v>
      </c>
      <c r="K69" s="168" t="e">
        <f>K71&amp;$S69&amp;ActYear_m1Y</f>
        <v>#REF!</v>
      </c>
      <c r="L69" s="168" t="e">
        <f t="shared" si="24"/>
        <v>#REF!</v>
      </c>
      <c r="M69" s="168" t="e">
        <f t="shared" si="24"/>
        <v>#REF!</v>
      </c>
      <c r="N69" s="168" t="e">
        <f t="shared" si="24"/>
        <v>#REF!</v>
      </c>
      <c r="O69" s="168" t="e">
        <f>O71&amp;$S69&amp;ActYear_m1Y</f>
        <v>#REF!</v>
      </c>
      <c r="P69" s="168" t="e">
        <f t="shared" si="25"/>
        <v>#REF!</v>
      </c>
      <c r="Q69" s="168" t="e">
        <f t="shared" si="25"/>
        <v>#REF!</v>
      </c>
      <c r="R69" s="168" t="e">
        <f t="shared" si="25"/>
        <v>#REF!</v>
      </c>
      <c r="S69" s="168" t="str">
        <f t="shared" si="13"/>
        <v> </v>
      </c>
      <c r="T69" s="187"/>
      <c r="U69" s="188"/>
    </row>
    <row r="70" spans="8:21" ht="10.5" thickBot="1">
      <c r="H70" s="262"/>
      <c r="I70" s="152" t="s">
        <v>404</v>
      </c>
      <c r="J70" s="153" t="e">
        <f t="shared" si="16"/>
        <v>#REF!</v>
      </c>
      <c r="K70" s="154" t="e">
        <f>K71&amp;$S69&amp;ActY_m1Y</f>
        <v>#REF!</v>
      </c>
      <c r="L70" s="154" t="e">
        <f t="shared" si="24"/>
        <v>#REF!</v>
      </c>
      <c r="M70" s="154" t="e">
        <f t="shared" si="24"/>
        <v>#REF!</v>
      </c>
      <c r="N70" s="154" t="e">
        <f t="shared" si="24"/>
        <v>#REF!</v>
      </c>
      <c r="O70" s="154" t="e">
        <f>O71&amp;$S69&amp;ActY_m1Y</f>
        <v>#REF!</v>
      </c>
      <c r="P70" s="154" t="e">
        <f t="shared" si="25"/>
        <v>#REF!</v>
      </c>
      <c r="Q70" s="154" t="e">
        <f t="shared" si="25"/>
        <v>#REF!</v>
      </c>
      <c r="R70" s="154" t="e">
        <f t="shared" si="25"/>
        <v>#REF!</v>
      </c>
      <c r="S70" s="154">
        <f t="shared" si="13"/>
      </c>
      <c r="T70" s="184"/>
      <c r="U70" s="185"/>
    </row>
    <row r="71" spans="8:21" ht="9.75">
      <c r="H71" s="262"/>
      <c r="I71" s="158" t="s">
        <v>405</v>
      </c>
      <c r="J71" s="159" t="e">
        <f aca="true" t="shared" si="26" ref="J71:J102">INDEX(K71:R71,,SelectIdx)</f>
        <v>#REF!</v>
      </c>
      <c r="K71" s="168" t="str">
        <f>N55</f>
        <v>apr-jun</v>
      </c>
      <c r="L71" s="168" t="str">
        <f t="shared" si="24"/>
        <v>jul-sep</v>
      </c>
      <c r="M71" s="168" t="str">
        <f t="shared" si="24"/>
        <v>okt-dec</v>
      </c>
      <c r="N71" s="168" t="str">
        <f t="shared" si="24"/>
        <v>jan-mar</v>
      </c>
      <c r="O71" s="168" t="str">
        <f>R55</f>
        <v>Apr-Jun</v>
      </c>
      <c r="P71" s="168" t="str">
        <f t="shared" si="25"/>
        <v>Jul-Sep</v>
      </c>
      <c r="Q71" s="168" t="str">
        <f t="shared" si="25"/>
        <v>Oct-Dec</v>
      </c>
      <c r="R71" s="168" t="str">
        <f t="shared" si="25"/>
        <v>Jan-Mar</v>
      </c>
      <c r="S71" s="168">
        <f t="shared" si="13"/>
      </c>
      <c r="T71" s="187"/>
      <c r="U71" s="188"/>
    </row>
    <row r="72" spans="8:21" ht="10.5" thickBot="1">
      <c r="H72" s="263"/>
      <c r="I72" s="190" t="s">
        <v>406</v>
      </c>
      <c r="J72" s="191" t="e">
        <f t="shared" si="26"/>
        <v>#REF!</v>
      </c>
      <c r="K72" s="192" t="str">
        <f>N56</f>
        <v>jan-jun</v>
      </c>
      <c r="L72" s="192" t="str">
        <f t="shared" si="24"/>
        <v>jan-sep</v>
      </c>
      <c r="M72" s="192" t="str">
        <f t="shared" si="24"/>
        <v>jan-dec</v>
      </c>
      <c r="N72" s="192" t="str">
        <f t="shared" si="24"/>
        <v>jan-mar</v>
      </c>
      <c r="O72" s="192" t="str">
        <f>R56</f>
        <v>Jan-Jun</v>
      </c>
      <c r="P72" s="192" t="str">
        <f t="shared" si="25"/>
        <v>Jan-Sep</v>
      </c>
      <c r="Q72" s="192" t="str">
        <f t="shared" si="25"/>
        <v>Jan-Dec</v>
      </c>
      <c r="R72" s="192" t="str">
        <f t="shared" si="25"/>
        <v>Jan-Mar</v>
      </c>
      <c r="S72" s="192">
        <f t="shared" si="13"/>
      </c>
      <c r="T72" s="193"/>
      <c r="U72" s="194"/>
    </row>
    <row r="73" spans="8:21" ht="10.5" thickTop="1">
      <c r="H73" s="261" t="s">
        <v>407</v>
      </c>
      <c r="I73" s="172" t="s">
        <v>408</v>
      </c>
      <c r="J73" s="173" t="e">
        <f t="shared" si="26"/>
        <v>#REF!</v>
      </c>
      <c r="K73" s="174">
        <f>N57</f>
        <v>1</v>
      </c>
      <c r="L73" s="174">
        <f t="shared" si="24"/>
        <v>2</v>
      </c>
      <c r="M73" s="174">
        <f t="shared" si="24"/>
        <v>3</v>
      </c>
      <c r="N73" s="174">
        <f t="shared" si="24"/>
        <v>4</v>
      </c>
      <c r="O73" s="174">
        <f>R57</f>
        <v>1</v>
      </c>
      <c r="P73" s="174">
        <f t="shared" si="25"/>
        <v>2</v>
      </c>
      <c r="Q73" s="174">
        <f t="shared" si="25"/>
        <v>3</v>
      </c>
      <c r="R73" s="174">
        <f t="shared" si="25"/>
        <v>4</v>
      </c>
      <c r="S73" s="174">
        <f t="shared" si="13"/>
      </c>
      <c r="T73" s="175"/>
      <c r="U73" s="176"/>
    </row>
    <row r="74" spans="8:21" ht="9.75">
      <c r="H74" s="262"/>
      <c r="I74" s="146" t="s">
        <v>409</v>
      </c>
      <c r="J74" s="147" t="e">
        <f t="shared" si="26"/>
        <v>#REF!</v>
      </c>
      <c r="K74" s="148" t="str">
        <f aca="true" t="shared" si="27" ref="K74:R74">"Q"&amp;K73</f>
        <v>Q1</v>
      </c>
      <c r="L74" s="148" t="str">
        <f t="shared" si="27"/>
        <v>Q2</v>
      </c>
      <c r="M74" s="148" t="str">
        <f t="shared" si="27"/>
        <v>Q3</v>
      </c>
      <c r="N74" s="148" t="str">
        <f t="shared" si="27"/>
        <v>Q4</v>
      </c>
      <c r="O74" s="148" t="str">
        <f t="shared" si="27"/>
        <v>Q1</v>
      </c>
      <c r="P74" s="148" t="str">
        <f t="shared" si="27"/>
        <v>Q2</v>
      </c>
      <c r="Q74" s="148" t="str">
        <f t="shared" si="27"/>
        <v>Q3</v>
      </c>
      <c r="R74" s="148" t="str">
        <f t="shared" si="27"/>
        <v>Q4</v>
      </c>
      <c r="S74" s="148">
        <f t="shared" si="13"/>
      </c>
      <c r="T74" s="179"/>
      <c r="U74" s="180"/>
    </row>
    <row r="75" spans="8:21" ht="9.75">
      <c r="H75" s="262"/>
      <c r="I75" s="146" t="s">
        <v>410</v>
      </c>
      <c r="J75" s="147" t="e">
        <f t="shared" si="26"/>
        <v>#REF!</v>
      </c>
      <c r="K75" s="148" t="e">
        <f>K74&amp;$S75&amp;ActYear_m1Y</f>
        <v>#REF!</v>
      </c>
      <c r="L75" s="148" t="e">
        <f aca="true" t="shared" si="28" ref="L75:N89">K59</f>
        <v>#REF!</v>
      </c>
      <c r="M75" s="148" t="e">
        <f t="shared" si="28"/>
        <v>#REF!</v>
      </c>
      <c r="N75" s="148" t="e">
        <f t="shared" si="28"/>
        <v>#REF!</v>
      </c>
      <c r="O75" s="148" t="e">
        <f>O74&amp;$S75&amp;ActYear_m1Y</f>
        <v>#REF!</v>
      </c>
      <c r="P75" s="148" t="e">
        <f>O59</f>
        <v>#REF!</v>
      </c>
      <c r="Q75" s="148" t="e">
        <f>P59</f>
        <v>#REF!</v>
      </c>
      <c r="R75" s="148" t="e">
        <f>Q59</f>
        <v>#REF!</v>
      </c>
      <c r="S75" s="148" t="str">
        <f t="shared" si="13"/>
        <v> </v>
      </c>
      <c r="T75" s="179"/>
      <c r="U75" s="180"/>
    </row>
    <row r="76" spans="8:21" ht="9.75">
      <c r="H76" s="262"/>
      <c r="I76" s="146" t="s">
        <v>411</v>
      </c>
      <c r="J76" s="147" t="e">
        <f t="shared" si="26"/>
        <v>#REF!</v>
      </c>
      <c r="K76" s="148" t="e">
        <f>K74&amp;$S76&amp;ActY_m1Y</f>
        <v>#REF!</v>
      </c>
      <c r="L76" s="148" t="e">
        <f t="shared" si="28"/>
        <v>#REF!</v>
      </c>
      <c r="M76" s="148" t="e">
        <f t="shared" si="28"/>
        <v>#REF!</v>
      </c>
      <c r="N76" s="148" t="e">
        <f t="shared" si="28"/>
        <v>#REF!</v>
      </c>
      <c r="O76" s="148" t="e">
        <f>O74&amp;$S76&amp;ActY_m1Y</f>
        <v>#REF!</v>
      </c>
      <c r="P76" s="148" t="e">
        <f aca="true" t="shared" si="29" ref="P76:R89">O60</f>
        <v>#REF!</v>
      </c>
      <c r="Q76" s="148" t="e">
        <f>P59</f>
        <v>#REF!</v>
      </c>
      <c r="R76" s="148" t="e">
        <f>Q59</f>
        <v>#REF!</v>
      </c>
      <c r="S76" s="148" t="str">
        <f t="shared" si="13"/>
        <v> </v>
      </c>
      <c r="T76" s="179"/>
      <c r="U76" s="180"/>
    </row>
    <row r="77" spans="8:21" ht="9.75">
      <c r="H77" s="262"/>
      <c r="I77" s="146" t="s">
        <v>412</v>
      </c>
      <c r="J77" s="147" t="e">
        <f t="shared" si="26"/>
        <v>#REF!</v>
      </c>
      <c r="K77" s="148" t="e">
        <f>K73&amp;$S77&amp;ActYear_m1Y</f>
        <v>#REF!</v>
      </c>
      <c r="L77" s="148" t="e">
        <f t="shared" si="28"/>
        <v>#REF!</v>
      </c>
      <c r="M77" s="148" t="e">
        <f t="shared" si="28"/>
        <v>#REF!</v>
      </c>
      <c r="N77" s="148" t="e">
        <f t="shared" si="28"/>
        <v>#REF!</v>
      </c>
      <c r="O77" s="148" t="e">
        <f>O73&amp;$S77&amp;ActYear_m1Y</f>
        <v>#REF!</v>
      </c>
      <c r="P77" s="148" t="e">
        <f t="shared" si="29"/>
        <v>#REF!</v>
      </c>
      <c r="Q77" s="148" t="e">
        <f t="shared" si="29"/>
        <v>#REF!</v>
      </c>
      <c r="R77" s="148" t="e">
        <f t="shared" si="29"/>
        <v>#REF!</v>
      </c>
      <c r="S77" s="148" t="str">
        <f t="shared" si="13"/>
        <v> </v>
      </c>
      <c r="T77" s="179"/>
      <c r="U77" s="180"/>
    </row>
    <row r="78" spans="8:21" ht="10.5" thickBot="1">
      <c r="H78" s="262"/>
      <c r="I78" s="152" t="s">
        <v>413</v>
      </c>
      <c r="J78" s="153" t="e">
        <f t="shared" si="26"/>
        <v>#REF!</v>
      </c>
      <c r="K78" s="154" t="e">
        <f>K73&amp;$S78&amp;ActY_m1Y</f>
        <v>#REF!</v>
      </c>
      <c r="L78" s="154" t="e">
        <f t="shared" si="28"/>
        <v>#REF!</v>
      </c>
      <c r="M78" s="154" t="e">
        <f t="shared" si="28"/>
        <v>#REF!</v>
      </c>
      <c r="N78" s="154" t="e">
        <f t="shared" si="28"/>
        <v>#REF!</v>
      </c>
      <c r="O78" s="154" t="e">
        <f>O73&amp;$S78&amp;ActY_m1Y</f>
        <v>#REF!</v>
      </c>
      <c r="P78" s="154" t="e">
        <f t="shared" si="29"/>
        <v>#REF!</v>
      </c>
      <c r="Q78" s="154" t="e">
        <f t="shared" si="29"/>
        <v>#REF!</v>
      </c>
      <c r="R78" s="154" t="e">
        <f t="shared" si="29"/>
        <v>#REF!</v>
      </c>
      <c r="S78" s="154" t="str">
        <f t="shared" si="13"/>
        <v> </v>
      </c>
      <c r="T78" s="184"/>
      <c r="U78" s="185"/>
    </row>
    <row r="79" spans="8:21" ht="9.75">
      <c r="H79" s="262"/>
      <c r="I79" s="158" t="s">
        <v>414</v>
      </c>
      <c r="J79" s="159" t="e">
        <f t="shared" si="26"/>
        <v>#REF!</v>
      </c>
      <c r="K79" s="186" t="str">
        <f>N63</f>
        <v>03</v>
      </c>
      <c r="L79" s="186" t="str">
        <f t="shared" si="28"/>
        <v>06</v>
      </c>
      <c r="M79" s="186" t="str">
        <f t="shared" si="28"/>
        <v>09</v>
      </c>
      <c r="N79" s="186" t="str">
        <f t="shared" si="28"/>
        <v>12</v>
      </c>
      <c r="O79" s="186" t="str">
        <f>R63</f>
        <v>03</v>
      </c>
      <c r="P79" s="186" t="str">
        <f t="shared" si="29"/>
        <v>06</v>
      </c>
      <c r="Q79" s="186" t="str">
        <f t="shared" si="29"/>
        <v>09</v>
      </c>
      <c r="R79" s="186" t="str">
        <f t="shared" si="29"/>
        <v>12</v>
      </c>
      <c r="S79" s="168">
        <f t="shared" si="13"/>
      </c>
      <c r="T79" s="187"/>
      <c r="U79" s="188"/>
    </row>
    <row r="80" spans="8:21" ht="10.5" thickBot="1">
      <c r="H80" s="262"/>
      <c r="I80" s="152" t="s">
        <v>415</v>
      </c>
      <c r="J80" s="153" t="e">
        <f t="shared" si="26"/>
        <v>#REF!</v>
      </c>
      <c r="K80" s="154" t="e">
        <f>ActYear_m1Y&amp;$S80&amp;K79</f>
        <v>#REF!</v>
      </c>
      <c r="L80" s="154" t="e">
        <f t="shared" si="28"/>
        <v>#REF!</v>
      </c>
      <c r="M80" s="154" t="e">
        <f t="shared" si="28"/>
        <v>#REF!</v>
      </c>
      <c r="N80" s="154" t="e">
        <f t="shared" si="28"/>
        <v>#REF!</v>
      </c>
      <c r="O80" s="154" t="e">
        <f>ActYear_m1Y&amp;$S80&amp;O79</f>
        <v>#REF!</v>
      </c>
      <c r="P80" s="154" t="e">
        <f t="shared" si="29"/>
        <v>#REF!</v>
      </c>
      <c r="Q80" s="154" t="e">
        <f t="shared" si="29"/>
        <v>#REF!</v>
      </c>
      <c r="R80" s="154" t="e">
        <f t="shared" si="29"/>
        <v>#REF!</v>
      </c>
      <c r="S80" s="154" t="str">
        <f t="shared" si="13"/>
        <v> </v>
      </c>
      <c r="T80" s="184"/>
      <c r="U80" s="185"/>
    </row>
    <row r="81" spans="8:21" ht="9.75">
      <c r="H81" s="262"/>
      <c r="I81" s="158" t="s">
        <v>416</v>
      </c>
      <c r="J81" s="159" t="e">
        <f t="shared" si="26"/>
        <v>#REF!</v>
      </c>
      <c r="K81" s="168" t="str">
        <f>N65</f>
        <v>31 mar.</v>
      </c>
      <c r="L81" s="168" t="str">
        <f t="shared" si="28"/>
        <v>30 jun.</v>
      </c>
      <c r="M81" s="168" t="str">
        <f t="shared" si="28"/>
        <v>30 sep.</v>
      </c>
      <c r="N81" s="168" t="str">
        <f t="shared" si="28"/>
        <v>31 dec.</v>
      </c>
      <c r="O81" s="168" t="str">
        <f>R65</f>
        <v>Mar. 31</v>
      </c>
      <c r="P81" s="168" t="str">
        <f t="shared" si="29"/>
        <v>Jun. 30</v>
      </c>
      <c r="Q81" s="168" t="str">
        <f t="shared" si="29"/>
        <v>Sep. 30</v>
      </c>
      <c r="R81" s="168" t="str">
        <f t="shared" si="29"/>
        <v>Dec. 31</v>
      </c>
      <c r="S81" s="168">
        <f t="shared" si="13"/>
      </c>
      <c r="T81" s="187"/>
      <c r="U81" s="188"/>
    </row>
    <row r="82" spans="8:21" ht="9.75">
      <c r="H82" s="262"/>
      <c r="I82" s="146" t="s">
        <v>417</v>
      </c>
      <c r="J82" s="164" t="e">
        <f t="shared" si="26"/>
        <v>#REF!</v>
      </c>
      <c r="K82" s="165" t="e">
        <f>_XLL.SLUTMÅNAD(DATE(ActYear_m1Y,K79,1),0)</f>
        <v>#NAME?</v>
      </c>
      <c r="L82" s="165" t="e">
        <f t="shared" si="28"/>
        <v>#NAME?</v>
      </c>
      <c r="M82" s="165" t="e">
        <f t="shared" si="28"/>
        <v>#NAME?</v>
      </c>
      <c r="N82" s="165" t="e">
        <f t="shared" si="28"/>
        <v>#NAME?</v>
      </c>
      <c r="O82" s="165" t="e">
        <f>_XLL.SLUTMÅNAD(DATE(ActYear_m1Y,O79,1),0)</f>
        <v>#NAME?</v>
      </c>
      <c r="P82" s="165" t="e">
        <f t="shared" si="29"/>
        <v>#NAME?</v>
      </c>
      <c r="Q82" s="165" t="e">
        <f t="shared" si="29"/>
        <v>#NAME?</v>
      </c>
      <c r="R82" s="165" t="e">
        <f t="shared" si="29"/>
        <v>#NAME?</v>
      </c>
      <c r="S82" s="148">
        <f t="shared" si="13"/>
      </c>
      <c r="T82" s="179"/>
      <c r="U82" s="180"/>
    </row>
    <row r="83" spans="8:21" ht="9.75">
      <c r="H83" s="262"/>
      <c r="I83" s="146" t="s">
        <v>418</v>
      </c>
      <c r="J83" s="147" t="e">
        <f t="shared" si="26"/>
        <v>#REF!</v>
      </c>
      <c r="K83" s="148" t="e">
        <f>K81&amp;$S83&amp;ActYear_m1Y</f>
        <v>#REF!</v>
      </c>
      <c r="L83" s="148" t="e">
        <f t="shared" si="28"/>
        <v>#REF!</v>
      </c>
      <c r="M83" s="148" t="e">
        <f t="shared" si="28"/>
        <v>#REF!</v>
      </c>
      <c r="N83" s="148" t="e">
        <f t="shared" si="28"/>
        <v>#REF!</v>
      </c>
      <c r="O83" s="148" t="e">
        <f>O81&amp;","&amp;$S83&amp;ActYear_m1Y</f>
        <v>#REF!</v>
      </c>
      <c r="P83" s="148" t="e">
        <f t="shared" si="29"/>
        <v>#REF!</v>
      </c>
      <c r="Q83" s="148" t="e">
        <f t="shared" si="29"/>
        <v>#REF!</v>
      </c>
      <c r="R83" s="148" t="e">
        <f t="shared" si="29"/>
        <v>#REF!</v>
      </c>
      <c r="S83" s="148" t="str">
        <f t="shared" si="13"/>
        <v> </v>
      </c>
      <c r="T83" s="179"/>
      <c r="U83" s="180"/>
    </row>
    <row r="84" spans="8:21" ht="10.5" thickBot="1">
      <c r="H84" s="262"/>
      <c r="I84" s="152" t="s">
        <v>419</v>
      </c>
      <c r="J84" s="153" t="e">
        <f t="shared" si="26"/>
        <v>#REF!</v>
      </c>
      <c r="K84" s="154" t="e">
        <f>K81&amp;$S84&amp;ActY_m1Y</f>
        <v>#REF!</v>
      </c>
      <c r="L84" s="154" t="e">
        <f t="shared" si="28"/>
        <v>#REF!</v>
      </c>
      <c r="M84" s="154" t="e">
        <f t="shared" si="28"/>
        <v>#REF!</v>
      </c>
      <c r="N84" s="154" t="e">
        <f t="shared" si="28"/>
        <v>#REF!</v>
      </c>
      <c r="O84" s="154" t="e">
        <f>O81&amp;$S84&amp;ActY_m1Y</f>
        <v>#REF!</v>
      </c>
      <c r="P84" s="154" t="e">
        <f t="shared" si="29"/>
        <v>#REF!</v>
      </c>
      <c r="Q84" s="154" t="e">
        <f t="shared" si="29"/>
        <v>#REF!</v>
      </c>
      <c r="R84" s="154" t="e">
        <f t="shared" si="29"/>
        <v>#REF!</v>
      </c>
      <c r="S84" s="154" t="str">
        <f t="shared" si="13"/>
        <v> </v>
      </c>
      <c r="T84" s="184"/>
      <c r="U84" s="185"/>
    </row>
    <row r="85" spans="8:21" ht="9.75">
      <c r="H85" s="262"/>
      <c r="I85" s="158" t="s">
        <v>420</v>
      </c>
      <c r="J85" s="159" t="e">
        <f t="shared" si="26"/>
        <v>#REF!</v>
      </c>
      <c r="K85" s="168" t="e">
        <f>K87&amp;$S85&amp;ActYear_m1Y</f>
        <v>#REF!</v>
      </c>
      <c r="L85" s="168" t="e">
        <f t="shared" si="28"/>
        <v>#REF!</v>
      </c>
      <c r="M85" s="168" t="e">
        <f t="shared" si="28"/>
        <v>#REF!</v>
      </c>
      <c r="N85" s="168" t="e">
        <f t="shared" si="28"/>
        <v>#REF!</v>
      </c>
      <c r="O85" s="168" t="e">
        <f>O87&amp;$S85&amp;ActYear_m1Y</f>
        <v>#REF!</v>
      </c>
      <c r="P85" s="168" t="e">
        <f t="shared" si="29"/>
        <v>#REF!</v>
      </c>
      <c r="Q85" s="168" t="e">
        <f t="shared" si="29"/>
        <v>#REF!</v>
      </c>
      <c r="R85" s="168" t="e">
        <f t="shared" si="29"/>
        <v>#REF!</v>
      </c>
      <c r="S85" s="168" t="str">
        <f t="shared" si="13"/>
        <v> </v>
      </c>
      <c r="T85" s="187"/>
      <c r="U85" s="188"/>
    </row>
    <row r="86" spans="8:21" ht="10.5" thickBot="1">
      <c r="H86" s="262"/>
      <c r="I86" s="152" t="s">
        <v>421</v>
      </c>
      <c r="J86" s="153" t="e">
        <f t="shared" si="26"/>
        <v>#REF!</v>
      </c>
      <c r="K86" s="154" t="e">
        <f>K87&amp;$S85&amp;ActY_m1Y</f>
        <v>#REF!</v>
      </c>
      <c r="L86" s="154" t="e">
        <f t="shared" si="28"/>
        <v>#REF!</v>
      </c>
      <c r="M86" s="154" t="e">
        <f t="shared" si="28"/>
        <v>#REF!</v>
      </c>
      <c r="N86" s="154" t="e">
        <f t="shared" si="28"/>
        <v>#REF!</v>
      </c>
      <c r="O86" s="154" t="e">
        <f>O87&amp;$S85&amp;ActY_m1Y</f>
        <v>#REF!</v>
      </c>
      <c r="P86" s="154" t="e">
        <f t="shared" si="29"/>
        <v>#REF!</v>
      </c>
      <c r="Q86" s="154" t="e">
        <f t="shared" si="29"/>
        <v>#REF!</v>
      </c>
      <c r="R86" s="154" t="e">
        <f t="shared" si="29"/>
        <v>#REF!</v>
      </c>
      <c r="S86" s="154">
        <f t="shared" si="13"/>
      </c>
      <c r="T86" s="184"/>
      <c r="U86" s="185"/>
    </row>
    <row r="87" spans="8:21" ht="9.75">
      <c r="H87" s="262"/>
      <c r="I87" s="158" t="s">
        <v>422</v>
      </c>
      <c r="J87" s="159" t="e">
        <f t="shared" si="26"/>
        <v>#REF!</v>
      </c>
      <c r="K87" s="168" t="str">
        <f>N71</f>
        <v>jan-mar</v>
      </c>
      <c r="L87" s="168" t="str">
        <f t="shared" si="28"/>
        <v>apr-jun</v>
      </c>
      <c r="M87" s="168" t="str">
        <f t="shared" si="28"/>
        <v>jul-sep</v>
      </c>
      <c r="N87" s="168" t="str">
        <f t="shared" si="28"/>
        <v>okt-dec</v>
      </c>
      <c r="O87" s="168" t="str">
        <f>R71</f>
        <v>Jan-Mar</v>
      </c>
      <c r="P87" s="168" t="str">
        <f t="shared" si="29"/>
        <v>Apr-Jun</v>
      </c>
      <c r="Q87" s="168" t="str">
        <f t="shared" si="29"/>
        <v>Jul-Sep</v>
      </c>
      <c r="R87" s="168" t="str">
        <f t="shared" si="29"/>
        <v>Oct-Dec</v>
      </c>
      <c r="S87" s="168">
        <f t="shared" si="13"/>
      </c>
      <c r="T87" s="187"/>
      <c r="U87" s="188"/>
    </row>
    <row r="88" spans="8:21" ht="10.5" thickBot="1">
      <c r="H88" s="263"/>
      <c r="I88" s="190" t="s">
        <v>423</v>
      </c>
      <c r="J88" s="191" t="e">
        <f t="shared" si="26"/>
        <v>#REF!</v>
      </c>
      <c r="K88" s="192" t="str">
        <f>N72</f>
        <v>jan-mar</v>
      </c>
      <c r="L88" s="192" t="str">
        <f t="shared" si="28"/>
        <v>jan-jun</v>
      </c>
      <c r="M88" s="192" t="str">
        <f t="shared" si="28"/>
        <v>jan-sep</v>
      </c>
      <c r="N88" s="192" t="str">
        <f t="shared" si="28"/>
        <v>jan-dec</v>
      </c>
      <c r="O88" s="192" t="str">
        <f>R72</f>
        <v>Jan-Mar</v>
      </c>
      <c r="P88" s="192" t="str">
        <f t="shared" si="29"/>
        <v>Jan-Jun</v>
      </c>
      <c r="Q88" s="192" t="str">
        <f t="shared" si="29"/>
        <v>Jan-Sep</v>
      </c>
      <c r="R88" s="192" t="str">
        <f t="shared" si="29"/>
        <v>Jan-Dec</v>
      </c>
      <c r="S88" s="192">
        <f t="shared" si="13"/>
      </c>
      <c r="T88" s="193"/>
      <c r="U88" s="194"/>
    </row>
    <row r="89" spans="8:21" ht="10.5" thickTop="1">
      <c r="H89" s="261" t="s">
        <v>424</v>
      </c>
      <c r="I89" s="172" t="s">
        <v>425</v>
      </c>
      <c r="J89" s="173" t="e">
        <f t="shared" si="26"/>
        <v>#REF!</v>
      </c>
      <c r="K89" s="174">
        <f>N73</f>
        <v>4</v>
      </c>
      <c r="L89" s="174">
        <f t="shared" si="28"/>
        <v>1</v>
      </c>
      <c r="M89" s="174">
        <f t="shared" si="28"/>
        <v>2</v>
      </c>
      <c r="N89" s="174">
        <f t="shared" si="28"/>
        <v>3</v>
      </c>
      <c r="O89" s="174">
        <f>R73</f>
        <v>4</v>
      </c>
      <c r="P89" s="174">
        <f t="shared" si="29"/>
        <v>1</v>
      </c>
      <c r="Q89" s="174">
        <f t="shared" si="29"/>
        <v>2</v>
      </c>
      <c r="R89" s="174">
        <f t="shared" si="29"/>
        <v>3</v>
      </c>
      <c r="S89" s="174">
        <f aca="true" t="shared" si="30" ref="S89:S152">IF(S73="","",S73)</f>
      </c>
      <c r="T89" s="175"/>
      <c r="U89" s="176"/>
    </row>
    <row r="90" spans="8:21" ht="9.75">
      <c r="H90" s="262"/>
      <c r="I90" s="146" t="s">
        <v>426</v>
      </c>
      <c r="J90" s="147" t="e">
        <f t="shared" si="26"/>
        <v>#REF!</v>
      </c>
      <c r="K90" s="148" t="str">
        <f aca="true" t="shared" si="31" ref="K90:R90">"Q"&amp;K89</f>
        <v>Q4</v>
      </c>
      <c r="L90" s="148" t="str">
        <f t="shared" si="31"/>
        <v>Q1</v>
      </c>
      <c r="M90" s="148" t="str">
        <f t="shared" si="31"/>
        <v>Q2</v>
      </c>
      <c r="N90" s="148" t="str">
        <f t="shared" si="31"/>
        <v>Q3</v>
      </c>
      <c r="O90" s="148" t="str">
        <f t="shared" si="31"/>
        <v>Q4</v>
      </c>
      <c r="P90" s="148" t="str">
        <f t="shared" si="31"/>
        <v>Q1</v>
      </c>
      <c r="Q90" s="148" t="str">
        <f t="shared" si="31"/>
        <v>Q2</v>
      </c>
      <c r="R90" s="148" t="str">
        <f t="shared" si="31"/>
        <v>Q3</v>
      </c>
      <c r="S90" s="148">
        <f t="shared" si="30"/>
      </c>
      <c r="T90" s="179"/>
      <c r="U90" s="180"/>
    </row>
    <row r="91" spans="8:21" ht="9.75">
      <c r="H91" s="262"/>
      <c r="I91" s="146" t="s">
        <v>427</v>
      </c>
      <c r="J91" s="147" t="e">
        <f t="shared" si="26"/>
        <v>#REF!</v>
      </c>
      <c r="K91" s="148" t="e">
        <f>K90&amp;$S91&amp;ActYear_m2Y</f>
        <v>#REF!</v>
      </c>
      <c r="L91" s="148" t="e">
        <f aca="true" t="shared" si="32" ref="L91:N105">K75</f>
        <v>#REF!</v>
      </c>
      <c r="M91" s="148" t="e">
        <f t="shared" si="32"/>
        <v>#REF!</v>
      </c>
      <c r="N91" s="148" t="e">
        <f t="shared" si="32"/>
        <v>#REF!</v>
      </c>
      <c r="O91" s="148" t="e">
        <f>O90&amp;$S91&amp;ActYear_m2Y</f>
        <v>#REF!</v>
      </c>
      <c r="P91" s="148" t="e">
        <f>O75</f>
        <v>#REF!</v>
      </c>
      <c r="Q91" s="148" t="e">
        <f>P75</f>
        <v>#REF!</v>
      </c>
      <c r="R91" s="148" t="e">
        <f>Q75</f>
        <v>#REF!</v>
      </c>
      <c r="S91" s="148" t="str">
        <f t="shared" si="30"/>
        <v> </v>
      </c>
      <c r="T91" s="179"/>
      <c r="U91" s="180"/>
    </row>
    <row r="92" spans="8:21" ht="9.75">
      <c r="H92" s="262"/>
      <c r="I92" s="146" t="s">
        <v>428</v>
      </c>
      <c r="J92" s="147" t="e">
        <f t="shared" si="26"/>
        <v>#REF!</v>
      </c>
      <c r="K92" s="148" t="e">
        <f>K90&amp;$S92&amp;ActY_m2Y</f>
        <v>#REF!</v>
      </c>
      <c r="L92" s="148" t="e">
        <f t="shared" si="32"/>
        <v>#REF!</v>
      </c>
      <c r="M92" s="148" t="e">
        <f t="shared" si="32"/>
        <v>#REF!</v>
      </c>
      <c r="N92" s="148" t="e">
        <f t="shared" si="32"/>
        <v>#REF!</v>
      </c>
      <c r="O92" s="148" t="e">
        <f>O90&amp;$S92&amp;ActY_m2Y</f>
        <v>#REF!</v>
      </c>
      <c r="P92" s="148" t="e">
        <f aca="true" t="shared" si="33" ref="P92:R105">O76</f>
        <v>#REF!</v>
      </c>
      <c r="Q92" s="148" t="e">
        <f>P75</f>
        <v>#REF!</v>
      </c>
      <c r="R92" s="148" t="e">
        <f>Q75</f>
        <v>#REF!</v>
      </c>
      <c r="S92" s="148" t="str">
        <f t="shared" si="30"/>
        <v> </v>
      </c>
      <c r="T92" s="179"/>
      <c r="U92" s="180"/>
    </row>
    <row r="93" spans="8:21" ht="9.75">
      <c r="H93" s="262"/>
      <c r="I93" s="146" t="s">
        <v>429</v>
      </c>
      <c r="J93" s="147" t="e">
        <f t="shared" si="26"/>
        <v>#REF!</v>
      </c>
      <c r="K93" s="148" t="e">
        <f>K89&amp;$S93&amp;ActYear_m2Y</f>
        <v>#REF!</v>
      </c>
      <c r="L93" s="148" t="e">
        <f t="shared" si="32"/>
        <v>#REF!</v>
      </c>
      <c r="M93" s="148" t="e">
        <f t="shared" si="32"/>
        <v>#REF!</v>
      </c>
      <c r="N93" s="148" t="e">
        <f t="shared" si="32"/>
        <v>#REF!</v>
      </c>
      <c r="O93" s="148" t="e">
        <f>O89&amp;$S93&amp;ActYear_m2Y</f>
        <v>#REF!</v>
      </c>
      <c r="P93" s="148" t="e">
        <f t="shared" si="33"/>
        <v>#REF!</v>
      </c>
      <c r="Q93" s="148" t="e">
        <f t="shared" si="33"/>
        <v>#REF!</v>
      </c>
      <c r="R93" s="148" t="e">
        <f t="shared" si="33"/>
        <v>#REF!</v>
      </c>
      <c r="S93" s="148" t="str">
        <f t="shared" si="30"/>
        <v> </v>
      </c>
      <c r="T93" s="179"/>
      <c r="U93" s="180"/>
    </row>
    <row r="94" spans="8:21" ht="10.5" thickBot="1">
      <c r="H94" s="262"/>
      <c r="I94" s="152" t="s">
        <v>430</v>
      </c>
      <c r="J94" s="153" t="e">
        <f t="shared" si="26"/>
        <v>#REF!</v>
      </c>
      <c r="K94" s="154" t="e">
        <f>K89&amp;$S94&amp;ActY_m2Y</f>
        <v>#REF!</v>
      </c>
      <c r="L94" s="154" t="e">
        <f t="shared" si="32"/>
        <v>#REF!</v>
      </c>
      <c r="M94" s="154" t="e">
        <f t="shared" si="32"/>
        <v>#REF!</v>
      </c>
      <c r="N94" s="154" t="e">
        <f t="shared" si="32"/>
        <v>#REF!</v>
      </c>
      <c r="O94" s="154" t="e">
        <f>O89&amp;$S94&amp;ActY_m2Y</f>
        <v>#REF!</v>
      </c>
      <c r="P94" s="154" t="e">
        <f t="shared" si="33"/>
        <v>#REF!</v>
      </c>
      <c r="Q94" s="154" t="e">
        <f t="shared" si="33"/>
        <v>#REF!</v>
      </c>
      <c r="R94" s="154" t="e">
        <f t="shared" si="33"/>
        <v>#REF!</v>
      </c>
      <c r="S94" s="154" t="str">
        <f t="shared" si="30"/>
        <v> </v>
      </c>
      <c r="T94" s="184"/>
      <c r="U94" s="185"/>
    </row>
    <row r="95" spans="8:21" ht="9.75">
      <c r="H95" s="262"/>
      <c r="I95" s="158" t="s">
        <v>431</v>
      </c>
      <c r="J95" s="159" t="e">
        <f t="shared" si="26"/>
        <v>#REF!</v>
      </c>
      <c r="K95" s="186" t="str">
        <f>N79</f>
        <v>12</v>
      </c>
      <c r="L95" s="186" t="str">
        <f t="shared" si="32"/>
        <v>03</v>
      </c>
      <c r="M95" s="186" t="str">
        <f t="shared" si="32"/>
        <v>06</v>
      </c>
      <c r="N95" s="186" t="str">
        <f t="shared" si="32"/>
        <v>09</v>
      </c>
      <c r="O95" s="186" t="str">
        <f>R79</f>
        <v>12</v>
      </c>
      <c r="P95" s="186" t="str">
        <f t="shared" si="33"/>
        <v>03</v>
      </c>
      <c r="Q95" s="186" t="str">
        <f t="shared" si="33"/>
        <v>06</v>
      </c>
      <c r="R95" s="186" t="str">
        <f t="shared" si="33"/>
        <v>09</v>
      </c>
      <c r="S95" s="168">
        <f t="shared" si="30"/>
      </c>
      <c r="T95" s="187"/>
      <c r="U95" s="188"/>
    </row>
    <row r="96" spans="8:21" ht="10.5" thickBot="1">
      <c r="H96" s="262"/>
      <c r="I96" s="152" t="s">
        <v>432</v>
      </c>
      <c r="J96" s="153" t="e">
        <f t="shared" si="26"/>
        <v>#REF!</v>
      </c>
      <c r="K96" s="154" t="e">
        <f>ActYear_m2Y&amp;$S96&amp;K95</f>
        <v>#REF!</v>
      </c>
      <c r="L96" s="154" t="e">
        <f t="shared" si="32"/>
        <v>#REF!</v>
      </c>
      <c r="M96" s="154" t="e">
        <f t="shared" si="32"/>
        <v>#REF!</v>
      </c>
      <c r="N96" s="154" t="e">
        <f t="shared" si="32"/>
        <v>#REF!</v>
      </c>
      <c r="O96" s="154" t="e">
        <f>ActYear_m2Y&amp;$S96&amp;O95</f>
        <v>#REF!</v>
      </c>
      <c r="P96" s="154" t="e">
        <f t="shared" si="33"/>
        <v>#REF!</v>
      </c>
      <c r="Q96" s="154" t="e">
        <f t="shared" si="33"/>
        <v>#REF!</v>
      </c>
      <c r="R96" s="154" t="e">
        <f t="shared" si="33"/>
        <v>#REF!</v>
      </c>
      <c r="S96" s="154" t="str">
        <f t="shared" si="30"/>
        <v> </v>
      </c>
      <c r="T96" s="184"/>
      <c r="U96" s="185"/>
    </row>
    <row r="97" spans="8:21" ht="9.75">
      <c r="H97" s="262"/>
      <c r="I97" s="158" t="s">
        <v>433</v>
      </c>
      <c r="J97" s="159" t="e">
        <f t="shared" si="26"/>
        <v>#REF!</v>
      </c>
      <c r="K97" s="168" t="str">
        <f>N81</f>
        <v>31 dec.</v>
      </c>
      <c r="L97" s="168" t="str">
        <f t="shared" si="32"/>
        <v>31 mar.</v>
      </c>
      <c r="M97" s="168" t="str">
        <f t="shared" si="32"/>
        <v>30 jun.</v>
      </c>
      <c r="N97" s="168" t="str">
        <f t="shared" si="32"/>
        <v>30 sep.</v>
      </c>
      <c r="O97" s="168" t="str">
        <f>R81</f>
        <v>Dec. 31</v>
      </c>
      <c r="P97" s="168" t="str">
        <f t="shared" si="33"/>
        <v>Mar. 31</v>
      </c>
      <c r="Q97" s="168" t="str">
        <f t="shared" si="33"/>
        <v>Jun. 30</v>
      </c>
      <c r="R97" s="168" t="str">
        <f t="shared" si="33"/>
        <v>Sep. 30</v>
      </c>
      <c r="S97" s="168">
        <f t="shared" si="30"/>
      </c>
      <c r="T97" s="187"/>
      <c r="U97" s="188"/>
    </row>
    <row r="98" spans="8:21" ht="9.75">
      <c r="H98" s="262"/>
      <c r="I98" s="146" t="s">
        <v>434</v>
      </c>
      <c r="J98" s="164" t="e">
        <f t="shared" si="26"/>
        <v>#REF!</v>
      </c>
      <c r="K98" s="165" t="e">
        <f>_XLL.SLUTMÅNAD(DATE(ActYear_m2Y,K95,1),0)</f>
        <v>#NAME?</v>
      </c>
      <c r="L98" s="165" t="e">
        <f t="shared" si="32"/>
        <v>#NAME?</v>
      </c>
      <c r="M98" s="165" t="e">
        <f t="shared" si="32"/>
        <v>#NAME?</v>
      </c>
      <c r="N98" s="165" t="e">
        <f t="shared" si="32"/>
        <v>#NAME?</v>
      </c>
      <c r="O98" s="165" t="e">
        <f>_XLL.SLUTMÅNAD(DATE(ActYear_m2Y,O95,1),0)</f>
        <v>#NAME?</v>
      </c>
      <c r="P98" s="165" t="e">
        <f t="shared" si="33"/>
        <v>#NAME?</v>
      </c>
      <c r="Q98" s="165" t="e">
        <f t="shared" si="33"/>
        <v>#NAME?</v>
      </c>
      <c r="R98" s="165" t="e">
        <f t="shared" si="33"/>
        <v>#NAME?</v>
      </c>
      <c r="S98" s="148">
        <f t="shared" si="30"/>
      </c>
      <c r="T98" s="179"/>
      <c r="U98" s="180"/>
    </row>
    <row r="99" spans="8:21" ht="9.75">
      <c r="H99" s="262"/>
      <c r="I99" s="146" t="s">
        <v>435</v>
      </c>
      <c r="J99" s="147" t="e">
        <f t="shared" si="26"/>
        <v>#REF!</v>
      </c>
      <c r="K99" s="148" t="e">
        <f>K97&amp;$S99&amp;ActYear_m2Y</f>
        <v>#REF!</v>
      </c>
      <c r="L99" s="148" t="e">
        <f t="shared" si="32"/>
        <v>#REF!</v>
      </c>
      <c r="M99" s="148" t="e">
        <f t="shared" si="32"/>
        <v>#REF!</v>
      </c>
      <c r="N99" s="148" t="e">
        <f t="shared" si="32"/>
        <v>#REF!</v>
      </c>
      <c r="O99" s="148" t="e">
        <f>O97&amp;","&amp;$S99&amp;ActYear_m2Y</f>
        <v>#REF!</v>
      </c>
      <c r="P99" s="148" t="e">
        <f t="shared" si="33"/>
        <v>#REF!</v>
      </c>
      <c r="Q99" s="148" t="e">
        <f t="shared" si="33"/>
        <v>#REF!</v>
      </c>
      <c r="R99" s="148" t="e">
        <f t="shared" si="33"/>
        <v>#REF!</v>
      </c>
      <c r="S99" s="148" t="str">
        <f t="shared" si="30"/>
        <v> </v>
      </c>
      <c r="T99" s="179"/>
      <c r="U99" s="180"/>
    </row>
    <row r="100" spans="8:21" ht="10.5" thickBot="1">
      <c r="H100" s="262"/>
      <c r="I100" s="152" t="s">
        <v>436</v>
      </c>
      <c r="J100" s="153" t="e">
        <f t="shared" si="26"/>
        <v>#REF!</v>
      </c>
      <c r="K100" s="154" t="e">
        <f>K97&amp;$S100&amp;ActY_m2Y</f>
        <v>#REF!</v>
      </c>
      <c r="L100" s="154" t="e">
        <f t="shared" si="32"/>
        <v>#REF!</v>
      </c>
      <c r="M100" s="154" t="e">
        <f t="shared" si="32"/>
        <v>#REF!</v>
      </c>
      <c r="N100" s="154" t="e">
        <f t="shared" si="32"/>
        <v>#REF!</v>
      </c>
      <c r="O100" s="154" t="e">
        <f>O97&amp;$S100&amp;ActY_m2Y</f>
        <v>#REF!</v>
      </c>
      <c r="P100" s="154" t="e">
        <f t="shared" si="33"/>
        <v>#REF!</v>
      </c>
      <c r="Q100" s="154" t="e">
        <f t="shared" si="33"/>
        <v>#REF!</v>
      </c>
      <c r="R100" s="154" t="e">
        <f t="shared" si="33"/>
        <v>#REF!</v>
      </c>
      <c r="S100" s="154" t="str">
        <f t="shared" si="30"/>
        <v> </v>
      </c>
      <c r="T100" s="184"/>
      <c r="U100" s="185"/>
    </row>
    <row r="101" spans="8:21" ht="9.75">
      <c r="H101" s="262"/>
      <c r="I101" s="158" t="s">
        <v>437</v>
      </c>
      <c r="J101" s="159" t="e">
        <f t="shared" si="26"/>
        <v>#REF!</v>
      </c>
      <c r="K101" s="168" t="e">
        <f>K103&amp;$S101&amp;ActYear_m2Y</f>
        <v>#REF!</v>
      </c>
      <c r="L101" s="168" t="e">
        <f t="shared" si="32"/>
        <v>#REF!</v>
      </c>
      <c r="M101" s="168" t="e">
        <f t="shared" si="32"/>
        <v>#REF!</v>
      </c>
      <c r="N101" s="168" t="e">
        <f t="shared" si="32"/>
        <v>#REF!</v>
      </c>
      <c r="O101" s="168" t="e">
        <f>O103&amp;$S101&amp;ActYear_m2Y</f>
        <v>#REF!</v>
      </c>
      <c r="P101" s="168" t="e">
        <f t="shared" si="33"/>
        <v>#REF!</v>
      </c>
      <c r="Q101" s="168" t="e">
        <f t="shared" si="33"/>
        <v>#REF!</v>
      </c>
      <c r="R101" s="168" t="e">
        <f t="shared" si="33"/>
        <v>#REF!</v>
      </c>
      <c r="S101" s="168" t="str">
        <f t="shared" si="30"/>
        <v> </v>
      </c>
      <c r="T101" s="187"/>
      <c r="U101" s="188"/>
    </row>
    <row r="102" spans="8:21" ht="10.5" thickBot="1">
      <c r="H102" s="262"/>
      <c r="I102" s="152" t="s">
        <v>438</v>
      </c>
      <c r="J102" s="153" t="e">
        <f t="shared" si="26"/>
        <v>#REF!</v>
      </c>
      <c r="K102" s="154" t="e">
        <f>K103&amp;$S101&amp;ActY_m2Y</f>
        <v>#REF!</v>
      </c>
      <c r="L102" s="154" t="e">
        <f t="shared" si="32"/>
        <v>#REF!</v>
      </c>
      <c r="M102" s="154" t="e">
        <f t="shared" si="32"/>
        <v>#REF!</v>
      </c>
      <c r="N102" s="154" t="e">
        <f t="shared" si="32"/>
        <v>#REF!</v>
      </c>
      <c r="O102" s="154" t="e">
        <f>O103&amp;$S101&amp;ActY_m2Y</f>
        <v>#REF!</v>
      </c>
      <c r="P102" s="154" t="e">
        <f t="shared" si="33"/>
        <v>#REF!</v>
      </c>
      <c r="Q102" s="154" t="e">
        <f t="shared" si="33"/>
        <v>#REF!</v>
      </c>
      <c r="R102" s="154" t="e">
        <f t="shared" si="33"/>
        <v>#REF!</v>
      </c>
      <c r="S102" s="154">
        <f t="shared" si="30"/>
      </c>
      <c r="T102" s="184"/>
      <c r="U102" s="185"/>
    </row>
    <row r="103" spans="8:21" ht="9.75">
      <c r="H103" s="262"/>
      <c r="I103" s="158" t="s">
        <v>439</v>
      </c>
      <c r="J103" s="159" t="e">
        <f aca="true" t="shared" si="34" ref="J103:J134">INDEX(K103:R103,,SelectIdx)</f>
        <v>#REF!</v>
      </c>
      <c r="K103" s="168" t="str">
        <f>N87</f>
        <v>okt-dec</v>
      </c>
      <c r="L103" s="168" t="str">
        <f t="shared" si="32"/>
        <v>jan-mar</v>
      </c>
      <c r="M103" s="168" t="str">
        <f t="shared" si="32"/>
        <v>apr-jun</v>
      </c>
      <c r="N103" s="168" t="str">
        <f t="shared" si="32"/>
        <v>jul-sep</v>
      </c>
      <c r="O103" s="168" t="str">
        <f>R87</f>
        <v>Oct-Dec</v>
      </c>
      <c r="P103" s="168" t="str">
        <f t="shared" si="33"/>
        <v>Jan-Mar</v>
      </c>
      <c r="Q103" s="168" t="str">
        <f t="shared" si="33"/>
        <v>Apr-Jun</v>
      </c>
      <c r="R103" s="168" t="str">
        <f t="shared" si="33"/>
        <v>Jul-Sep</v>
      </c>
      <c r="S103" s="168">
        <f t="shared" si="30"/>
      </c>
      <c r="T103" s="187"/>
      <c r="U103" s="188"/>
    </row>
    <row r="104" spans="8:21" ht="10.5" thickBot="1">
      <c r="H104" s="263"/>
      <c r="I104" s="190" t="s">
        <v>440</v>
      </c>
      <c r="J104" s="191" t="e">
        <f t="shared" si="34"/>
        <v>#REF!</v>
      </c>
      <c r="K104" s="192" t="str">
        <f>N88</f>
        <v>jan-dec</v>
      </c>
      <c r="L104" s="192" t="str">
        <f t="shared" si="32"/>
        <v>jan-mar</v>
      </c>
      <c r="M104" s="192" t="str">
        <f t="shared" si="32"/>
        <v>jan-jun</v>
      </c>
      <c r="N104" s="192" t="str">
        <f t="shared" si="32"/>
        <v>jan-sep</v>
      </c>
      <c r="O104" s="192" t="str">
        <f>R88</f>
        <v>Jan-Dec</v>
      </c>
      <c r="P104" s="192" t="str">
        <f t="shared" si="33"/>
        <v>Jan-Mar</v>
      </c>
      <c r="Q104" s="192" t="str">
        <f t="shared" si="33"/>
        <v>Jan-Jun</v>
      </c>
      <c r="R104" s="192" t="str">
        <f t="shared" si="33"/>
        <v>Jan-Sep</v>
      </c>
      <c r="S104" s="192">
        <f t="shared" si="30"/>
      </c>
      <c r="T104" s="193"/>
      <c r="U104" s="194"/>
    </row>
    <row r="105" spans="8:21" ht="10.5" thickTop="1">
      <c r="H105" s="261" t="s">
        <v>441</v>
      </c>
      <c r="I105" s="172" t="s">
        <v>442</v>
      </c>
      <c r="J105" s="173" t="e">
        <f t="shared" si="34"/>
        <v>#REF!</v>
      </c>
      <c r="K105" s="174">
        <f>N89</f>
        <v>3</v>
      </c>
      <c r="L105" s="174">
        <f t="shared" si="32"/>
        <v>4</v>
      </c>
      <c r="M105" s="174">
        <f t="shared" si="32"/>
        <v>1</v>
      </c>
      <c r="N105" s="174">
        <f t="shared" si="32"/>
        <v>2</v>
      </c>
      <c r="O105" s="174">
        <f>R89</f>
        <v>3</v>
      </c>
      <c r="P105" s="174">
        <f t="shared" si="33"/>
        <v>4</v>
      </c>
      <c r="Q105" s="174">
        <f t="shared" si="33"/>
        <v>1</v>
      </c>
      <c r="R105" s="174">
        <f t="shared" si="33"/>
        <v>2</v>
      </c>
      <c r="S105" s="174">
        <f t="shared" si="30"/>
      </c>
      <c r="T105" s="175"/>
      <c r="U105" s="176"/>
    </row>
    <row r="106" spans="8:21" ht="9.75">
      <c r="H106" s="262"/>
      <c r="I106" s="146" t="s">
        <v>443</v>
      </c>
      <c r="J106" s="147" t="e">
        <f t="shared" si="34"/>
        <v>#REF!</v>
      </c>
      <c r="K106" s="148" t="str">
        <f aca="true" t="shared" si="35" ref="K106:R106">"Q"&amp;K105</f>
        <v>Q3</v>
      </c>
      <c r="L106" s="148" t="str">
        <f t="shared" si="35"/>
        <v>Q4</v>
      </c>
      <c r="M106" s="148" t="str">
        <f t="shared" si="35"/>
        <v>Q1</v>
      </c>
      <c r="N106" s="148" t="str">
        <f t="shared" si="35"/>
        <v>Q2</v>
      </c>
      <c r="O106" s="148" t="str">
        <f t="shared" si="35"/>
        <v>Q3</v>
      </c>
      <c r="P106" s="148" t="str">
        <f t="shared" si="35"/>
        <v>Q4</v>
      </c>
      <c r="Q106" s="148" t="str">
        <f t="shared" si="35"/>
        <v>Q1</v>
      </c>
      <c r="R106" s="148" t="str">
        <f t="shared" si="35"/>
        <v>Q2</v>
      </c>
      <c r="S106" s="148">
        <f t="shared" si="30"/>
      </c>
      <c r="T106" s="179"/>
      <c r="U106" s="180"/>
    </row>
    <row r="107" spans="8:21" ht="9.75">
      <c r="H107" s="262"/>
      <c r="I107" s="146" t="s">
        <v>444</v>
      </c>
      <c r="J107" s="147" t="e">
        <f t="shared" si="34"/>
        <v>#REF!</v>
      </c>
      <c r="K107" s="148" t="e">
        <f>K106&amp;$S107&amp;ActYear_m2Y</f>
        <v>#REF!</v>
      </c>
      <c r="L107" s="148" t="e">
        <f aca="true" t="shared" si="36" ref="L107:N121">K91</f>
        <v>#REF!</v>
      </c>
      <c r="M107" s="148" t="e">
        <f t="shared" si="36"/>
        <v>#REF!</v>
      </c>
      <c r="N107" s="148" t="e">
        <f t="shared" si="36"/>
        <v>#REF!</v>
      </c>
      <c r="O107" s="148" t="e">
        <f>O106&amp;$S107&amp;ActYear_m2Y</f>
        <v>#REF!</v>
      </c>
      <c r="P107" s="148" t="e">
        <f>O91</f>
        <v>#REF!</v>
      </c>
      <c r="Q107" s="148" t="e">
        <f>P91</f>
        <v>#REF!</v>
      </c>
      <c r="R107" s="148" t="e">
        <f>Q91</f>
        <v>#REF!</v>
      </c>
      <c r="S107" s="148" t="str">
        <f t="shared" si="30"/>
        <v> </v>
      </c>
      <c r="T107" s="179"/>
      <c r="U107" s="180"/>
    </row>
    <row r="108" spans="8:21" ht="9.75">
      <c r="H108" s="262"/>
      <c r="I108" s="146" t="s">
        <v>445</v>
      </c>
      <c r="J108" s="147" t="e">
        <f t="shared" si="34"/>
        <v>#REF!</v>
      </c>
      <c r="K108" s="148" t="e">
        <f>K106&amp;$S108&amp;ActY_m2Y</f>
        <v>#REF!</v>
      </c>
      <c r="L108" s="148" t="e">
        <f t="shared" si="36"/>
        <v>#REF!</v>
      </c>
      <c r="M108" s="148" t="e">
        <f t="shared" si="36"/>
        <v>#REF!</v>
      </c>
      <c r="N108" s="148" t="e">
        <f t="shared" si="36"/>
        <v>#REF!</v>
      </c>
      <c r="O108" s="148" t="e">
        <f>O106&amp;$S108&amp;ActY_m2Y</f>
        <v>#REF!</v>
      </c>
      <c r="P108" s="148" t="e">
        <f aca="true" t="shared" si="37" ref="P108:R121">O92</f>
        <v>#REF!</v>
      </c>
      <c r="Q108" s="148" t="e">
        <f>P91</f>
        <v>#REF!</v>
      </c>
      <c r="R108" s="148" t="e">
        <f>Q91</f>
        <v>#REF!</v>
      </c>
      <c r="S108" s="148" t="str">
        <f t="shared" si="30"/>
        <v> </v>
      </c>
      <c r="T108" s="179"/>
      <c r="U108" s="180"/>
    </row>
    <row r="109" spans="8:21" ht="9.75">
      <c r="H109" s="262"/>
      <c r="I109" s="146" t="s">
        <v>446</v>
      </c>
      <c r="J109" s="147" t="e">
        <f t="shared" si="34"/>
        <v>#REF!</v>
      </c>
      <c r="K109" s="148" t="e">
        <f>K105&amp;$S109&amp;ActYear_m2Y</f>
        <v>#REF!</v>
      </c>
      <c r="L109" s="148" t="e">
        <f t="shared" si="36"/>
        <v>#REF!</v>
      </c>
      <c r="M109" s="148" t="e">
        <f t="shared" si="36"/>
        <v>#REF!</v>
      </c>
      <c r="N109" s="148" t="e">
        <f t="shared" si="36"/>
        <v>#REF!</v>
      </c>
      <c r="O109" s="148" t="e">
        <f>O105&amp;$S109&amp;ActYear_m2Y</f>
        <v>#REF!</v>
      </c>
      <c r="P109" s="148" t="e">
        <f t="shared" si="37"/>
        <v>#REF!</v>
      </c>
      <c r="Q109" s="148" t="e">
        <f t="shared" si="37"/>
        <v>#REF!</v>
      </c>
      <c r="R109" s="148" t="e">
        <f t="shared" si="37"/>
        <v>#REF!</v>
      </c>
      <c r="S109" s="148" t="str">
        <f t="shared" si="30"/>
        <v> </v>
      </c>
      <c r="T109" s="179"/>
      <c r="U109" s="180"/>
    </row>
    <row r="110" spans="8:21" ht="10.5" thickBot="1">
      <c r="H110" s="262"/>
      <c r="I110" s="152" t="s">
        <v>447</v>
      </c>
      <c r="J110" s="153" t="e">
        <f t="shared" si="34"/>
        <v>#REF!</v>
      </c>
      <c r="K110" s="154" t="e">
        <f>K105&amp;$S110&amp;ActY_m2Y</f>
        <v>#REF!</v>
      </c>
      <c r="L110" s="154" t="e">
        <f t="shared" si="36"/>
        <v>#REF!</v>
      </c>
      <c r="M110" s="154" t="e">
        <f t="shared" si="36"/>
        <v>#REF!</v>
      </c>
      <c r="N110" s="154" t="e">
        <f t="shared" si="36"/>
        <v>#REF!</v>
      </c>
      <c r="O110" s="154" t="e">
        <f>O105&amp;$S110&amp;ActY_m2Y</f>
        <v>#REF!</v>
      </c>
      <c r="P110" s="154" t="e">
        <f t="shared" si="37"/>
        <v>#REF!</v>
      </c>
      <c r="Q110" s="154" t="e">
        <f t="shared" si="37"/>
        <v>#REF!</v>
      </c>
      <c r="R110" s="154" t="e">
        <f t="shared" si="37"/>
        <v>#REF!</v>
      </c>
      <c r="S110" s="154" t="str">
        <f t="shared" si="30"/>
        <v> </v>
      </c>
      <c r="T110" s="184"/>
      <c r="U110" s="185"/>
    </row>
    <row r="111" spans="8:21" ht="9.75">
      <c r="H111" s="262"/>
      <c r="I111" s="158" t="s">
        <v>448</v>
      </c>
      <c r="J111" s="159" t="e">
        <f t="shared" si="34"/>
        <v>#REF!</v>
      </c>
      <c r="K111" s="186" t="str">
        <f>N95</f>
        <v>09</v>
      </c>
      <c r="L111" s="186" t="str">
        <f t="shared" si="36"/>
        <v>12</v>
      </c>
      <c r="M111" s="186" t="str">
        <f t="shared" si="36"/>
        <v>03</v>
      </c>
      <c r="N111" s="186" t="str">
        <f t="shared" si="36"/>
        <v>06</v>
      </c>
      <c r="O111" s="186" t="str">
        <f>R95</f>
        <v>09</v>
      </c>
      <c r="P111" s="186" t="str">
        <f t="shared" si="37"/>
        <v>12</v>
      </c>
      <c r="Q111" s="186" t="str">
        <f t="shared" si="37"/>
        <v>03</v>
      </c>
      <c r="R111" s="186" t="str">
        <f t="shared" si="37"/>
        <v>06</v>
      </c>
      <c r="S111" s="168">
        <f t="shared" si="30"/>
      </c>
      <c r="T111" s="187"/>
      <c r="U111" s="188"/>
    </row>
    <row r="112" spans="8:21" ht="10.5" thickBot="1">
      <c r="H112" s="262"/>
      <c r="I112" s="152" t="s">
        <v>449</v>
      </c>
      <c r="J112" s="153" t="e">
        <f t="shared" si="34"/>
        <v>#REF!</v>
      </c>
      <c r="K112" s="154" t="e">
        <f>ActYear_m2Y&amp;$S112&amp;K111</f>
        <v>#REF!</v>
      </c>
      <c r="L112" s="154" t="e">
        <f t="shared" si="36"/>
        <v>#REF!</v>
      </c>
      <c r="M112" s="154" t="e">
        <f t="shared" si="36"/>
        <v>#REF!</v>
      </c>
      <c r="N112" s="154" t="e">
        <f t="shared" si="36"/>
        <v>#REF!</v>
      </c>
      <c r="O112" s="154" t="e">
        <f>ActYear_m2Y&amp;$S112&amp;O111</f>
        <v>#REF!</v>
      </c>
      <c r="P112" s="154" t="e">
        <f t="shared" si="37"/>
        <v>#REF!</v>
      </c>
      <c r="Q112" s="154" t="e">
        <f t="shared" si="37"/>
        <v>#REF!</v>
      </c>
      <c r="R112" s="154" t="e">
        <f t="shared" si="37"/>
        <v>#REF!</v>
      </c>
      <c r="S112" s="154" t="str">
        <f t="shared" si="30"/>
        <v> </v>
      </c>
      <c r="T112" s="184"/>
      <c r="U112" s="185"/>
    </row>
    <row r="113" spans="8:21" ht="9.75">
      <c r="H113" s="262"/>
      <c r="I113" s="158" t="s">
        <v>450</v>
      </c>
      <c r="J113" s="159" t="e">
        <f t="shared" si="34"/>
        <v>#REF!</v>
      </c>
      <c r="K113" s="168" t="str">
        <f>N97</f>
        <v>30 sep.</v>
      </c>
      <c r="L113" s="168" t="str">
        <f t="shared" si="36"/>
        <v>31 dec.</v>
      </c>
      <c r="M113" s="168" t="str">
        <f t="shared" si="36"/>
        <v>31 mar.</v>
      </c>
      <c r="N113" s="168" t="str">
        <f t="shared" si="36"/>
        <v>30 jun.</v>
      </c>
      <c r="O113" s="168" t="str">
        <f>R97</f>
        <v>Sep. 30</v>
      </c>
      <c r="P113" s="168" t="str">
        <f t="shared" si="37"/>
        <v>Dec. 31</v>
      </c>
      <c r="Q113" s="168" t="str">
        <f t="shared" si="37"/>
        <v>Mar. 31</v>
      </c>
      <c r="R113" s="168" t="str">
        <f t="shared" si="37"/>
        <v>Jun. 30</v>
      </c>
      <c r="S113" s="168">
        <f t="shared" si="30"/>
      </c>
      <c r="T113" s="187"/>
      <c r="U113" s="188"/>
    </row>
    <row r="114" spans="8:21" ht="9.75">
      <c r="H114" s="262"/>
      <c r="I114" s="146" t="s">
        <v>451</v>
      </c>
      <c r="J114" s="164" t="e">
        <f t="shared" si="34"/>
        <v>#REF!</v>
      </c>
      <c r="K114" s="165" t="e">
        <f>_XLL.SLUTMÅNAD(DATE(ActYear_m2Y,K111,1),0)</f>
        <v>#NAME?</v>
      </c>
      <c r="L114" s="165" t="e">
        <f t="shared" si="36"/>
        <v>#NAME?</v>
      </c>
      <c r="M114" s="165" t="e">
        <f t="shared" si="36"/>
        <v>#NAME?</v>
      </c>
      <c r="N114" s="165" t="e">
        <f t="shared" si="36"/>
        <v>#NAME?</v>
      </c>
      <c r="O114" s="165" t="e">
        <f>_XLL.SLUTMÅNAD(DATE(ActYear_m2Y,O111,1),0)</f>
        <v>#NAME?</v>
      </c>
      <c r="P114" s="165" t="e">
        <f t="shared" si="37"/>
        <v>#NAME?</v>
      </c>
      <c r="Q114" s="165" t="e">
        <f t="shared" si="37"/>
        <v>#NAME?</v>
      </c>
      <c r="R114" s="165" t="e">
        <f t="shared" si="37"/>
        <v>#NAME?</v>
      </c>
      <c r="S114" s="148">
        <f t="shared" si="30"/>
      </c>
      <c r="T114" s="179"/>
      <c r="U114" s="180"/>
    </row>
    <row r="115" spans="8:21" ht="9.75">
      <c r="H115" s="262"/>
      <c r="I115" s="146" t="s">
        <v>452</v>
      </c>
      <c r="J115" s="147" t="e">
        <f t="shared" si="34"/>
        <v>#REF!</v>
      </c>
      <c r="K115" s="148" t="e">
        <f>K113&amp;$S115&amp;ActYear_m2Y</f>
        <v>#REF!</v>
      </c>
      <c r="L115" s="148" t="e">
        <f t="shared" si="36"/>
        <v>#REF!</v>
      </c>
      <c r="M115" s="148" t="e">
        <f t="shared" si="36"/>
        <v>#REF!</v>
      </c>
      <c r="N115" s="148" t="e">
        <f t="shared" si="36"/>
        <v>#REF!</v>
      </c>
      <c r="O115" s="148" t="e">
        <f>O113&amp;","&amp;$S115&amp;ActYear_m2Y</f>
        <v>#REF!</v>
      </c>
      <c r="P115" s="148" t="e">
        <f t="shared" si="37"/>
        <v>#REF!</v>
      </c>
      <c r="Q115" s="148" t="e">
        <f t="shared" si="37"/>
        <v>#REF!</v>
      </c>
      <c r="R115" s="148" t="e">
        <f t="shared" si="37"/>
        <v>#REF!</v>
      </c>
      <c r="S115" s="148" t="str">
        <f t="shared" si="30"/>
        <v> </v>
      </c>
      <c r="T115" s="179"/>
      <c r="U115" s="180"/>
    </row>
    <row r="116" spans="8:21" ht="10.5" thickBot="1">
      <c r="H116" s="262"/>
      <c r="I116" s="152" t="s">
        <v>453</v>
      </c>
      <c r="J116" s="153" t="e">
        <f t="shared" si="34"/>
        <v>#REF!</v>
      </c>
      <c r="K116" s="154" t="e">
        <f>K113&amp;$S116&amp;ActY_m2Y</f>
        <v>#REF!</v>
      </c>
      <c r="L116" s="154" t="e">
        <f t="shared" si="36"/>
        <v>#REF!</v>
      </c>
      <c r="M116" s="154" t="e">
        <f t="shared" si="36"/>
        <v>#REF!</v>
      </c>
      <c r="N116" s="154" t="e">
        <f t="shared" si="36"/>
        <v>#REF!</v>
      </c>
      <c r="O116" s="154" t="e">
        <f>O113&amp;$S116&amp;ActY_m2Y</f>
        <v>#REF!</v>
      </c>
      <c r="P116" s="154" t="e">
        <f t="shared" si="37"/>
        <v>#REF!</v>
      </c>
      <c r="Q116" s="154" t="e">
        <f t="shared" si="37"/>
        <v>#REF!</v>
      </c>
      <c r="R116" s="154" t="e">
        <f t="shared" si="37"/>
        <v>#REF!</v>
      </c>
      <c r="S116" s="154" t="str">
        <f t="shared" si="30"/>
        <v> </v>
      </c>
      <c r="T116" s="184"/>
      <c r="U116" s="185"/>
    </row>
    <row r="117" spans="8:21" ht="9.75">
      <c r="H117" s="262"/>
      <c r="I117" s="158" t="s">
        <v>454</v>
      </c>
      <c r="J117" s="159" t="e">
        <f t="shared" si="34"/>
        <v>#REF!</v>
      </c>
      <c r="K117" s="168" t="e">
        <f>K119&amp;$S117&amp;ActYear_m2Y</f>
        <v>#REF!</v>
      </c>
      <c r="L117" s="168" t="e">
        <f t="shared" si="36"/>
        <v>#REF!</v>
      </c>
      <c r="M117" s="168" t="e">
        <f t="shared" si="36"/>
        <v>#REF!</v>
      </c>
      <c r="N117" s="168" t="e">
        <f t="shared" si="36"/>
        <v>#REF!</v>
      </c>
      <c r="O117" s="168" t="e">
        <f>O119&amp;$S117&amp;ActYear_m2Y</f>
        <v>#REF!</v>
      </c>
      <c r="P117" s="168" t="e">
        <f t="shared" si="37"/>
        <v>#REF!</v>
      </c>
      <c r="Q117" s="168" t="e">
        <f t="shared" si="37"/>
        <v>#REF!</v>
      </c>
      <c r="R117" s="168" t="e">
        <f t="shared" si="37"/>
        <v>#REF!</v>
      </c>
      <c r="S117" s="168" t="str">
        <f t="shared" si="30"/>
        <v> </v>
      </c>
      <c r="T117" s="187"/>
      <c r="U117" s="188"/>
    </row>
    <row r="118" spans="8:21" ht="10.5" thickBot="1">
      <c r="H118" s="262"/>
      <c r="I118" s="152" t="s">
        <v>455</v>
      </c>
      <c r="J118" s="153" t="e">
        <f t="shared" si="34"/>
        <v>#REF!</v>
      </c>
      <c r="K118" s="154" t="e">
        <f>K119&amp;$S117&amp;ActY_m2Y</f>
        <v>#REF!</v>
      </c>
      <c r="L118" s="154" t="e">
        <f t="shared" si="36"/>
        <v>#REF!</v>
      </c>
      <c r="M118" s="154" t="e">
        <f t="shared" si="36"/>
        <v>#REF!</v>
      </c>
      <c r="N118" s="154" t="e">
        <f t="shared" si="36"/>
        <v>#REF!</v>
      </c>
      <c r="O118" s="154" t="e">
        <f>O119&amp;$S117&amp;ActY_m2Y</f>
        <v>#REF!</v>
      </c>
      <c r="P118" s="154" t="e">
        <f t="shared" si="37"/>
        <v>#REF!</v>
      </c>
      <c r="Q118" s="154" t="e">
        <f t="shared" si="37"/>
        <v>#REF!</v>
      </c>
      <c r="R118" s="154" t="e">
        <f t="shared" si="37"/>
        <v>#REF!</v>
      </c>
      <c r="S118" s="154">
        <f t="shared" si="30"/>
      </c>
      <c r="T118" s="184"/>
      <c r="U118" s="185"/>
    </row>
    <row r="119" spans="8:21" ht="9.75">
      <c r="H119" s="262"/>
      <c r="I119" s="158" t="s">
        <v>456</v>
      </c>
      <c r="J119" s="159" t="e">
        <f t="shared" si="34"/>
        <v>#REF!</v>
      </c>
      <c r="K119" s="168" t="str">
        <f>N103</f>
        <v>jul-sep</v>
      </c>
      <c r="L119" s="168" t="str">
        <f t="shared" si="36"/>
        <v>okt-dec</v>
      </c>
      <c r="M119" s="168" t="str">
        <f t="shared" si="36"/>
        <v>jan-mar</v>
      </c>
      <c r="N119" s="168" t="str">
        <f t="shared" si="36"/>
        <v>apr-jun</v>
      </c>
      <c r="O119" s="168" t="str">
        <f>R103</f>
        <v>Jul-Sep</v>
      </c>
      <c r="P119" s="168" t="str">
        <f t="shared" si="37"/>
        <v>Oct-Dec</v>
      </c>
      <c r="Q119" s="168" t="str">
        <f t="shared" si="37"/>
        <v>Jan-Mar</v>
      </c>
      <c r="R119" s="168" t="str">
        <f t="shared" si="37"/>
        <v>Apr-Jun</v>
      </c>
      <c r="S119" s="168">
        <f t="shared" si="30"/>
      </c>
      <c r="T119" s="187"/>
      <c r="U119" s="188"/>
    </row>
    <row r="120" spans="8:21" ht="10.5" thickBot="1">
      <c r="H120" s="263"/>
      <c r="I120" s="190" t="s">
        <v>457</v>
      </c>
      <c r="J120" s="191" t="e">
        <f t="shared" si="34"/>
        <v>#REF!</v>
      </c>
      <c r="K120" s="192" t="str">
        <f>N104</f>
        <v>jan-sep</v>
      </c>
      <c r="L120" s="192" t="str">
        <f t="shared" si="36"/>
        <v>jan-dec</v>
      </c>
      <c r="M120" s="192" t="str">
        <f t="shared" si="36"/>
        <v>jan-mar</v>
      </c>
      <c r="N120" s="192" t="str">
        <f t="shared" si="36"/>
        <v>jan-jun</v>
      </c>
      <c r="O120" s="192" t="str">
        <f>R104</f>
        <v>Jan-Sep</v>
      </c>
      <c r="P120" s="192" t="str">
        <f t="shared" si="37"/>
        <v>Jan-Dec</v>
      </c>
      <c r="Q120" s="192" t="str">
        <f t="shared" si="37"/>
        <v>Jan-Mar</v>
      </c>
      <c r="R120" s="192" t="str">
        <f t="shared" si="37"/>
        <v>Jan-Jun</v>
      </c>
      <c r="S120" s="192">
        <f t="shared" si="30"/>
      </c>
      <c r="T120" s="193"/>
      <c r="U120" s="194"/>
    </row>
    <row r="121" spans="8:21" ht="10.5" thickTop="1">
      <c r="H121" s="261" t="s">
        <v>458</v>
      </c>
      <c r="I121" s="172" t="s">
        <v>459</v>
      </c>
      <c r="J121" s="173" t="e">
        <f t="shared" si="34"/>
        <v>#REF!</v>
      </c>
      <c r="K121" s="174">
        <f>N105</f>
        <v>2</v>
      </c>
      <c r="L121" s="174">
        <f t="shared" si="36"/>
        <v>3</v>
      </c>
      <c r="M121" s="174">
        <f t="shared" si="36"/>
        <v>4</v>
      </c>
      <c r="N121" s="174">
        <f t="shared" si="36"/>
        <v>1</v>
      </c>
      <c r="O121" s="174">
        <f>R105</f>
        <v>2</v>
      </c>
      <c r="P121" s="174">
        <f t="shared" si="37"/>
        <v>3</v>
      </c>
      <c r="Q121" s="174">
        <f t="shared" si="37"/>
        <v>4</v>
      </c>
      <c r="R121" s="174">
        <f t="shared" si="37"/>
        <v>1</v>
      </c>
      <c r="S121" s="174">
        <f t="shared" si="30"/>
      </c>
      <c r="T121" s="175"/>
      <c r="U121" s="176"/>
    </row>
    <row r="122" spans="8:21" ht="9.75">
      <c r="H122" s="262"/>
      <c r="I122" s="146" t="s">
        <v>460</v>
      </c>
      <c r="J122" s="147" t="e">
        <f t="shared" si="34"/>
        <v>#REF!</v>
      </c>
      <c r="K122" s="148" t="str">
        <f aca="true" t="shared" si="38" ref="K122:R122">"Q"&amp;K121</f>
        <v>Q2</v>
      </c>
      <c r="L122" s="148" t="str">
        <f t="shared" si="38"/>
        <v>Q3</v>
      </c>
      <c r="M122" s="148" t="str">
        <f t="shared" si="38"/>
        <v>Q4</v>
      </c>
      <c r="N122" s="148" t="str">
        <f t="shared" si="38"/>
        <v>Q1</v>
      </c>
      <c r="O122" s="148" t="str">
        <f t="shared" si="38"/>
        <v>Q2</v>
      </c>
      <c r="P122" s="148" t="str">
        <f t="shared" si="38"/>
        <v>Q3</v>
      </c>
      <c r="Q122" s="148" t="str">
        <f t="shared" si="38"/>
        <v>Q4</v>
      </c>
      <c r="R122" s="148" t="str">
        <f t="shared" si="38"/>
        <v>Q1</v>
      </c>
      <c r="S122" s="148">
        <f t="shared" si="30"/>
      </c>
      <c r="T122" s="179"/>
      <c r="U122" s="180"/>
    </row>
    <row r="123" spans="8:21" ht="9.75">
      <c r="H123" s="262"/>
      <c r="I123" s="146" t="s">
        <v>461</v>
      </c>
      <c r="J123" s="147" t="e">
        <f t="shared" si="34"/>
        <v>#REF!</v>
      </c>
      <c r="K123" s="148" t="e">
        <f>K122&amp;$S123&amp;ActYear_m2Y</f>
        <v>#REF!</v>
      </c>
      <c r="L123" s="148" t="e">
        <f aca="true" t="shared" si="39" ref="L123:N137">K107</f>
        <v>#REF!</v>
      </c>
      <c r="M123" s="148" t="e">
        <f t="shared" si="39"/>
        <v>#REF!</v>
      </c>
      <c r="N123" s="148" t="e">
        <f t="shared" si="39"/>
        <v>#REF!</v>
      </c>
      <c r="O123" s="148" t="e">
        <f>O122&amp;$S123&amp;ActYear_m2Y</f>
        <v>#REF!</v>
      </c>
      <c r="P123" s="148" t="e">
        <f>O107</f>
        <v>#REF!</v>
      </c>
      <c r="Q123" s="148" t="e">
        <f>P107</f>
        <v>#REF!</v>
      </c>
      <c r="R123" s="148" t="e">
        <f>Q107</f>
        <v>#REF!</v>
      </c>
      <c r="S123" s="148" t="str">
        <f t="shared" si="30"/>
        <v> </v>
      </c>
      <c r="T123" s="179"/>
      <c r="U123" s="180"/>
    </row>
    <row r="124" spans="8:21" ht="9.75">
      <c r="H124" s="262"/>
      <c r="I124" s="146" t="s">
        <v>462</v>
      </c>
      <c r="J124" s="147" t="e">
        <f t="shared" si="34"/>
        <v>#REF!</v>
      </c>
      <c r="K124" s="148" t="e">
        <f>K122&amp;$S124&amp;ActY_m2Y</f>
        <v>#REF!</v>
      </c>
      <c r="L124" s="148" t="e">
        <f t="shared" si="39"/>
        <v>#REF!</v>
      </c>
      <c r="M124" s="148" t="e">
        <f t="shared" si="39"/>
        <v>#REF!</v>
      </c>
      <c r="N124" s="148" t="e">
        <f t="shared" si="39"/>
        <v>#REF!</v>
      </c>
      <c r="O124" s="148" t="e">
        <f>O122&amp;$S124&amp;ActY_m2Y</f>
        <v>#REF!</v>
      </c>
      <c r="P124" s="148" t="e">
        <f aca="true" t="shared" si="40" ref="P124:R137">O108</f>
        <v>#REF!</v>
      </c>
      <c r="Q124" s="148" t="e">
        <f>P107</f>
        <v>#REF!</v>
      </c>
      <c r="R124" s="148" t="e">
        <f>Q107</f>
        <v>#REF!</v>
      </c>
      <c r="S124" s="148" t="str">
        <f t="shared" si="30"/>
        <v> </v>
      </c>
      <c r="T124" s="179"/>
      <c r="U124" s="180"/>
    </row>
    <row r="125" spans="8:21" ht="9.75">
      <c r="H125" s="262"/>
      <c r="I125" s="146" t="s">
        <v>463</v>
      </c>
      <c r="J125" s="147" t="e">
        <f t="shared" si="34"/>
        <v>#REF!</v>
      </c>
      <c r="K125" s="148" t="e">
        <f>K121&amp;$S125&amp;ActYear_m2Y</f>
        <v>#REF!</v>
      </c>
      <c r="L125" s="148" t="e">
        <f t="shared" si="39"/>
        <v>#REF!</v>
      </c>
      <c r="M125" s="148" t="e">
        <f t="shared" si="39"/>
        <v>#REF!</v>
      </c>
      <c r="N125" s="148" t="e">
        <f t="shared" si="39"/>
        <v>#REF!</v>
      </c>
      <c r="O125" s="148" t="e">
        <f>O121&amp;$S125&amp;ActYear_m2Y</f>
        <v>#REF!</v>
      </c>
      <c r="P125" s="148" t="e">
        <f t="shared" si="40"/>
        <v>#REF!</v>
      </c>
      <c r="Q125" s="148" t="e">
        <f t="shared" si="40"/>
        <v>#REF!</v>
      </c>
      <c r="R125" s="148" t="e">
        <f t="shared" si="40"/>
        <v>#REF!</v>
      </c>
      <c r="S125" s="148" t="str">
        <f t="shared" si="30"/>
        <v> </v>
      </c>
      <c r="T125" s="179"/>
      <c r="U125" s="180"/>
    </row>
    <row r="126" spans="8:21" ht="10.5" thickBot="1">
      <c r="H126" s="262"/>
      <c r="I126" s="152" t="s">
        <v>464</v>
      </c>
      <c r="J126" s="153" t="e">
        <f t="shared" si="34"/>
        <v>#REF!</v>
      </c>
      <c r="K126" s="154" t="e">
        <f>K121&amp;$S126&amp;ActY_m2Y</f>
        <v>#REF!</v>
      </c>
      <c r="L126" s="154" t="e">
        <f t="shared" si="39"/>
        <v>#REF!</v>
      </c>
      <c r="M126" s="154" t="e">
        <f t="shared" si="39"/>
        <v>#REF!</v>
      </c>
      <c r="N126" s="154" t="e">
        <f t="shared" si="39"/>
        <v>#REF!</v>
      </c>
      <c r="O126" s="154" t="e">
        <f>O121&amp;$S126&amp;ActY_m2Y</f>
        <v>#REF!</v>
      </c>
      <c r="P126" s="154" t="e">
        <f t="shared" si="40"/>
        <v>#REF!</v>
      </c>
      <c r="Q126" s="154" t="e">
        <f t="shared" si="40"/>
        <v>#REF!</v>
      </c>
      <c r="R126" s="154" t="e">
        <f t="shared" si="40"/>
        <v>#REF!</v>
      </c>
      <c r="S126" s="154" t="str">
        <f t="shared" si="30"/>
        <v> </v>
      </c>
      <c r="T126" s="184"/>
      <c r="U126" s="185"/>
    </row>
    <row r="127" spans="8:21" ht="9.75">
      <c r="H127" s="262"/>
      <c r="I127" s="158" t="s">
        <v>465</v>
      </c>
      <c r="J127" s="159" t="e">
        <f t="shared" si="34"/>
        <v>#REF!</v>
      </c>
      <c r="K127" s="186" t="str">
        <f>N111</f>
        <v>06</v>
      </c>
      <c r="L127" s="186" t="str">
        <f t="shared" si="39"/>
        <v>09</v>
      </c>
      <c r="M127" s="186" t="str">
        <f t="shared" si="39"/>
        <v>12</v>
      </c>
      <c r="N127" s="186" t="str">
        <f t="shared" si="39"/>
        <v>03</v>
      </c>
      <c r="O127" s="186" t="str">
        <f>R111</f>
        <v>06</v>
      </c>
      <c r="P127" s="186" t="str">
        <f t="shared" si="40"/>
        <v>09</v>
      </c>
      <c r="Q127" s="186" t="str">
        <f t="shared" si="40"/>
        <v>12</v>
      </c>
      <c r="R127" s="186" t="str">
        <f t="shared" si="40"/>
        <v>03</v>
      </c>
      <c r="S127" s="168">
        <f t="shared" si="30"/>
      </c>
      <c r="T127" s="187"/>
      <c r="U127" s="188"/>
    </row>
    <row r="128" spans="8:21" ht="10.5" thickBot="1">
      <c r="H128" s="262"/>
      <c r="I128" s="152" t="s">
        <v>466</v>
      </c>
      <c r="J128" s="153" t="e">
        <f t="shared" si="34"/>
        <v>#REF!</v>
      </c>
      <c r="K128" s="154" t="e">
        <f>ActYear_m2Y&amp;$S128&amp;K127</f>
        <v>#REF!</v>
      </c>
      <c r="L128" s="154" t="e">
        <f t="shared" si="39"/>
        <v>#REF!</v>
      </c>
      <c r="M128" s="154" t="e">
        <f t="shared" si="39"/>
        <v>#REF!</v>
      </c>
      <c r="N128" s="154" t="e">
        <f t="shared" si="39"/>
        <v>#REF!</v>
      </c>
      <c r="O128" s="154" t="e">
        <f>ActYear_m2Y&amp;$S128&amp;O127</f>
        <v>#REF!</v>
      </c>
      <c r="P128" s="154" t="e">
        <f t="shared" si="40"/>
        <v>#REF!</v>
      </c>
      <c r="Q128" s="154" t="e">
        <f t="shared" si="40"/>
        <v>#REF!</v>
      </c>
      <c r="R128" s="154" t="e">
        <f t="shared" si="40"/>
        <v>#REF!</v>
      </c>
      <c r="S128" s="154" t="str">
        <f t="shared" si="30"/>
        <v> </v>
      </c>
      <c r="T128" s="184"/>
      <c r="U128" s="185"/>
    </row>
    <row r="129" spans="8:21" ht="9.75">
      <c r="H129" s="262"/>
      <c r="I129" s="158" t="s">
        <v>467</v>
      </c>
      <c r="J129" s="159" t="e">
        <f t="shared" si="34"/>
        <v>#REF!</v>
      </c>
      <c r="K129" s="168" t="str">
        <f>N113</f>
        <v>30 jun.</v>
      </c>
      <c r="L129" s="168" t="str">
        <f t="shared" si="39"/>
        <v>30 sep.</v>
      </c>
      <c r="M129" s="168" t="str">
        <f t="shared" si="39"/>
        <v>31 dec.</v>
      </c>
      <c r="N129" s="168" t="str">
        <f t="shared" si="39"/>
        <v>31 mar.</v>
      </c>
      <c r="O129" s="168" t="str">
        <f>R113</f>
        <v>Jun. 30</v>
      </c>
      <c r="P129" s="168" t="str">
        <f t="shared" si="40"/>
        <v>Sep. 30</v>
      </c>
      <c r="Q129" s="168" t="str">
        <f t="shared" si="40"/>
        <v>Dec. 31</v>
      </c>
      <c r="R129" s="168" t="str">
        <f t="shared" si="40"/>
        <v>Mar. 31</v>
      </c>
      <c r="S129" s="168">
        <f t="shared" si="30"/>
      </c>
      <c r="T129" s="187"/>
      <c r="U129" s="188"/>
    </row>
    <row r="130" spans="8:21" ht="9.75">
      <c r="H130" s="262"/>
      <c r="I130" s="146" t="s">
        <v>468</v>
      </c>
      <c r="J130" s="164" t="e">
        <f t="shared" si="34"/>
        <v>#REF!</v>
      </c>
      <c r="K130" s="165" t="e">
        <f>_XLL.SLUTMÅNAD(DATE(ActYear_m2Y,K127,1),0)</f>
        <v>#NAME?</v>
      </c>
      <c r="L130" s="165" t="e">
        <f t="shared" si="39"/>
        <v>#NAME?</v>
      </c>
      <c r="M130" s="165" t="e">
        <f t="shared" si="39"/>
        <v>#NAME?</v>
      </c>
      <c r="N130" s="165" t="e">
        <f t="shared" si="39"/>
        <v>#NAME?</v>
      </c>
      <c r="O130" s="165" t="e">
        <f>_XLL.SLUTMÅNAD(DATE(ActYear_m2Y,O127,1),0)</f>
        <v>#NAME?</v>
      </c>
      <c r="P130" s="165" t="e">
        <f t="shared" si="40"/>
        <v>#NAME?</v>
      </c>
      <c r="Q130" s="165" t="e">
        <f t="shared" si="40"/>
        <v>#NAME?</v>
      </c>
      <c r="R130" s="165" t="e">
        <f t="shared" si="40"/>
        <v>#NAME?</v>
      </c>
      <c r="S130" s="148">
        <f t="shared" si="30"/>
      </c>
      <c r="T130" s="179"/>
      <c r="U130" s="180"/>
    </row>
    <row r="131" spans="8:21" ht="9.75">
      <c r="H131" s="262"/>
      <c r="I131" s="146" t="s">
        <v>469</v>
      </c>
      <c r="J131" s="147" t="e">
        <f t="shared" si="34"/>
        <v>#REF!</v>
      </c>
      <c r="K131" s="148" t="e">
        <f>K129&amp;$S131&amp;ActYear_m2Y</f>
        <v>#REF!</v>
      </c>
      <c r="L131" s="148" t="e">
        <f t="shared" si="39"/>
        <v>#REF!</v>
      </c>
      <c r="M131" s="148" t="e">
        <f t="shared" si="39"/>
        <v>#REF!</v>
      </c>
      <c r="N131" s="148" t="e">
        <f t="shared" si="39"/>
        <v>#REF!</v>
      </c>
      <c r="O131" s="148" t="e">
        <f>O129&amp;","&amp;$S131&amp;ActYear_m2Y</f>
        <v>#REF!</v>
      </c>
      <c r="P131" s="148" t="e">
        <f t="shared" si="40"/>
        <v>#REF!</v>
      </c>
      <c r="Q131" s="148" t="e">
        <f t="shared" si="40"/>
        <v>#REF!</v>
      </c>
      <c r="R131" s="148" t="e">
        <f t="shared" si="40"/>
        <v>#REF!</v>
      </c>
      <c r="S131" s="148" t="str">
        <f t="shared" si="30"/>
        <v> </v>
      </c>
      <c r="T131" s="179"/>
      <c r="U131" s="180"/>
    </row>
    <row r="132" spans="8:21" ht="10.5" thickBot="1">
      <c r="H132" s="262"/>
      <c r="I132" s="152" t="s">
        <v>470</v>
      </c>
      <c r="J132" s="153" t="e">
        <f t="shared" si="34"/>
        <v>#REF!</v>
      </c>
      <c r="K132" s="154" t="e">
        <f>K129&amp;$S132&amp;ActY_m2Y</f>
        <v>#REF!</v>
      </c>
      <c r="L132" s="154" t="e">
        <f t="shared" si="39"/>
        <v>#REF!</v>
      </c>
      <c r="M132" s="154" t="e">
        <f t="shared" si="39"/>
        <v>#REF!</v>
      </c>
      <c r="N132" s="154" t="e">
        <f t="shared" si="39"/>
        <v>#REF!</v>
      </c>
      <c r="O132" s="154" t="e">
        <f>O129&amp;$S132&amp;ActY_m2Y</f>
        <v>#REF!</v>
      </c>
      <c r="P132" s="154" t="e">
        <f t="shared" si="40"/>
        <v>#REF!</v>
      </c>
      <c r="Q132" s="154" t="e">
        <f t="shared" si="40"/>
        <v>#REF!</v>
      </c>
      <c r="R132" s="154" t="e">
        <f t="shared" si="40"/>
        <v>#REF!</v>
      </c>
      <c r="S132" s="154" t="str">
        <f t="shared" si="30"/>
        <v> </v>
      </c>
      <c r="T132" s="184"/>
      <c r="U132" s="185"/>
    </row>
    <row r="133" spans="8:21" ht="9.75">
      <c r="H133" s="262"/>
      <c r="I133" s="158" t="s">
        <v>471</v>
      </c>
      <c r="J133" s="159" t="e">
        <f t="shared" si="34"/>
        <v>#REF!</v>
      </c>
      <c r="K133" s="168" t="e">
        <f>K135&amp;$S133&amp;ActYear_m2Y</f>
        <v>#REF!</v>
      </c>
      <c r="L133" s="168" t="e">
        <f t="shared" si="39"/>
        <v>#REF!</v>
      </c>
      <c r="M133" s="168" t="e">
        <f t="shared" si="39"/>
        <v>#REF!</v>
      </c>
      <c r="N133" s="168" t="e">
        <f t="shared" si="39"/>
        <v>#REF!</v>
      </c>
      <c r="O133" s="168" t="e">
        <f>O135&amp;$S133&amp;ActYear_m2Y</f>
        <v>#REF!</v>
      </c>
      <c r="P133" s="168" t="e">
        <f t="shared" si="40"/>
        <v>#REF!</v>
      </c>
      <c r="Q133" s="168" t="e">
        <f t="shared" si="40"/>
        <v>#REF!</v>
      </c>
      <c r="R133" s="168" t="e">
        <f t="shared" si="40"/>
        <v>#REF!</v>
      </c>
      <c r="S133" s="168" t="str">
        <f t="shared" si="30"/>
        <v> </v>
      </c>
      <c r="T133" s="187"/>
      <c r="U133" s="188"/>
    </row>
    <row r="134" spans="8:21" ht="10.5" thickBot="1">
      <c r="H134" s="262"/>
      <c r="I134" s="152" t="s">
        <v>472</v>
      </c>
      <c r="J134" s="153" t="e">
        <f t="shared" si="34"/>
        <v>#REF!</v>
      </c>
      <c r="K134" s="154" t="e">
        <f>K135&amp;$S133&amp;ActY_m2Y</f>
        <v>#REF!</v>
      </c>
      <c r="L134" s="154" t="e">
        <f t="shared" si="39"/>
        <v>#REF!</v>
      </c>
      <c r="M134" s="154" t="e">
        <f t="shared" si="39"/>
        <v>#REF!</v>
      </c>
      <c r="N134" s="154" t="e">
        <f t="shared" si="39"/>
        <v>#REF!</v>
      </c>
      <c r="O134" s="154" t="e">
        <f>O135&amp;$S133&amp;ActY_m2Y</f>
        <v>#REF!</v>
      </c>
      <c r="P134" s="154" t="e">
        <f t="shared" si="40"/>
        <v>#REF!</v>
      </c>
      <c r="Q134" s="154" t="e">
        <f t="shared" si="40"/>
        <v>#REF!</v>
      </c>
      <c r="R134" s="154" t="e">
        <f t="shared" si="40"/>
        <v>#REF!</v>
      </c>
      <c r="S134" s="154">
        <f t="shared" si="30"/>
      </c>
      <c r="T134" s="184"/>
      <c r="U134" s="185"/>
    </row>
    <row r="135" spans="8:21" ht="9.75">
      <c r="H135" s="262"/>
      <c r="I135" s="158" t="s">
        <v>473</v>
      </c>
      <c r="J135" s="159" t="e">
        <f aca="true" t="shared" si="41" ref="J135:J166">INDEX(K135:R135,,SelectIdx)</f>
        <v>#REF!</v>
      </c>
      <c r="K135" s="168" t="str">
        <f>N119</f>
        <v>apr-jun</v>
      </c>
      <c r="L135" s="168" t="str">
        <f t="shared" si="39"/>
        <v>jul-sep</v>
      </c>
      <c r="M135" s="168" t="str">
        <f t="shared" si="39"/>
        <v>okt-dec</v>
      </c>
      <c r="N135" s="168" t="str">
        <f t="shared" si="39"/>
        <v>jan-mar</v>
      </c>
      <c r="O135" s="168" t="str">
        <f>R119</f>
        <v>Apr-Jun</v>
      </c>
      <c r="P135" s="168" t="str">
        <f t="shared" si="40"/>
        <v>Jul-Sep</v>
      </c>
      <c r="Q135" s="168" t="str">
        <f t="shared" si="40"/>
        <v>Oct-Dec</v>
      </c>
      <c r="R135" s="168" t="str">
        <f t="shared" si="40"/>
        <v>Jan-Mar</v>
      </c>
      <c r="S135" s="168">
        <f t="shared" si="30"/>
      </c>
      <c r="T135" s="187"/>
      <c r="U135" s="188"/>
    </row>
    <row r="136" spans="8:21" ht="10.5" thickBot="1">
      <c r="H136" s="263"/>
      <c r="I136" s="190" t="s">
        <v>474</v>
      </c>
      <c r="J136" s="191" t="e">
        <f t="shared" si="41"/>
        <v>#REF!</v>
      </c>
      <c r="K136" s="192" t="str">
        <f>N120</f>
        <v>jan-jun</v>
      </c>
      <c r="L136" s="192" t="str">
        <f t="shared" si="39"/>
        <v>jan-sep</v>
      </c>
      <c r="M136" s="192" t="str">
        <f t="shared" si="39"/>
        <v>jan-dec</v>
      </c>
      <c r="N136" s="192" t="str">
        <f t="shared" si="39"/>
        <v>jan-mar</v>
      </c>
      <c r="O136" s="192" t="str">
        <f>R120</f>
        <v>Jan-Jun</v>
      </c>
      <c r="P136" s="192" t="str">
        <f t="shared" si="40"/>
        <v>Jan-Sep</v>
      </c>
      <c r="Q136" s="192" t="str">
        <f t="shared" si="40"/>
        <v>Jan-Dec</v>
      </c>
      <c r="R136" s="192" t="str">
        <f t="shared" si="40"/>
        <v>Jan-Mar</v>
      </c>
      <c r="S136" s="192">
        <f t="shared" si="30"/>
      </c>
      <c r="T136" s="193"/>
      <c r="U136" s="194"/>
    </row>
    <row r="137" spans="8:21" ht="10.5" thickTop="1">
      <c r="H137" s="261" t="s">
        <v>475</v>
      </c>
      <c r="I137" s="172" t="s">
        <v>476</v>
      </c>
      <c r="J137" s="173" t="e">
        <f t="shared" si="41"/>
        <v>#REF!</v>
      </c>
      <c r="K137" s="174">
        <f>N121</f>
        <v>1</v>
      </c>
      <c r="L137" s="174">
        <f t="shared" si="39"/>
        <v>2</v>
      </c>
      <c r="M137" s="174">
        <f t="shared" si="39"/>
        <v>3</v>
      </c>
      <c r="N137" s="174">
        <f t="shared" si="39"/>
        <v>4</v>
      </c>
      <c r="O137" s="174">
        <f>R121</f>
        <v>1</v>
      </c>
      <c r="P137" s="174">
        <f t="shared" si="40"/>
        <v>2</v>
      </c>
      <c r="Q137" s="174">
        <f t="shared" si="40"/>
        <v>3</v>
      </c>
      <c r="R137" s="174">
        <f t="shared" si="40"/>
        <v>4</v>
      </c>
      <c r="S137" s="174">
        <f t="shared" si="30"/>
      </c>
      <c r="T137" s="175"/>
      <c r="U137" s="176"/>
    </row>
    <row r="138" spans="8:21" ht="9.75">
      <c r="H138" s="262"/>
      <c r="I138" s="146" t="s">
        <v>477</v>
      </c>
      <c r="J138" s="147" t="e">
        <f t="shared" si="41"/>
        <v>#REF!</v>
      </c>
      <c r="K138" s="148" t="str">
        <f aca="true" t="shared" si="42" ref="K138:R138">"Q"&amp;K137</f>
        <v>Q1</v>
      </c>
      <c r="L138" s="148" t="str">
        <f t="shared" si="42"/>
        <v>Q2</v>
      </c>
      <c r="M138" s="148" t="str">
        <f t="shared" si="42"/>
        <v>Q3</v>
      </c>
      <c r="N138" s="148" t="str">
        <f t="shared" si="42"/>
        <v>Q4</v>
      </c>
      <c r="O138" s="148" t="str">
        <f t="shared" si="42"/>
        <v>Q1</v>
      </c>
      <c r="P138" s="148" t="str">
        <f t="shared" si="42"/>
        <v>Q2</v>
      </c>
      <c r="Q138" s="148" t="str">
        <f t="shared" si="42"/>
        <v>Q3</v>
      </c>
      <c r="R138" s="148" t="str">
        <f t="shared" si="42"/>
        <v>Q4</v>
      </c>
      <c r="S138" s="148">
        <f t="shared" si="30"/>
      </c>
      <c r="T138" s="179"/>
      <c r="U138" s="180"/>
    </row>
    <row r="139" spans="8:21" ht="9.75">
      <c r="H139" s="262"/>
      <c r="I139" s="146" t="s">
        <v>478</v>
      </c>
      <c r="J139" s="147" t="e">
        <f t="shared" si="41"/>
        <v>#REF!</v>
      </c>
      <c r="K139" s="148" t="e">
        <f>K138&amp;$S139&amp;ActYear_m2Y</f>
        <v>#REF!</v>
      </c>
      <c r="L139" s="148" t="e">
        <f aca="true" t="shared" si="43" ref="L139:N153">K123</f>
        <v>#REF!</v>
      </c>
      <c r="M139" s="148" t="e">
        <f t="shared" si="43"/>
        <v>#REF!</v>
      </c>
      <c r="N139" s="148" t="e">
        <f t="shared" si="43"/>
        <v>#REF!</v>
      </c>
      <c r="O139" s="148" t="e">
        <f>O138&amp;$S139&amp;ActYear_m2Y</f>
        <v>#REF!</v>
      </c>
      <c r="P139" s="148" t="e">
        <f>O123</f>
        <v>#REF!</v>
      </c>
      <c r="Q139" s="148" t="e">
        <f>P123</f>
        <v>#REF!</v>
      </c>
      <c r="R139" s="148" t="e">
        <f>Q123</f>
        <v>#REF!</v>
      </c>
      <c r="S139" s="148" t="str">
        <f t="shared" si="30"/>
        <v> </v>
      </c>
      <c r="T139" s="179"/>
      <c r="U139" s="180"/>
    </row>
    <row r="140" spans="8:21" ht="9.75">
      <c r="H140" s="262"/>
      <c r="I140" s="146" t="s">
        <v>479</v>
      </c>
      <c r="J140" s="147" t="e">
        <f t="shared" si="41"/>
        <v>#REF!</v>
      </c>
      <c r="K140" s="148" t="e">
        <f>K138&amp;$S140&amp;ActY_m2Y</f>
        <v>#REF!</v>
      </c>
      <c r="L140" s="148" t="e">
        <f t="shared" si="43"/>
        <v>#REF!</v>
      </c>
      <c r="M140" s="148" t="e">
        <f t="shared" si="43"/>
        <v>#REF!</v>
      </c>
      <c r="N140" s="148" t="e">
        <f t="shared" si="43"/>
        <v>#REF!</v>
      </c>
      <c r="O140" s="148" t="e">
        <f>O138&amp;$S140&amp;ActY_m2Y</f>
        <v>#REF!</v>
      </c>
      <c r="P140" s="148" t="e">
        <f aca="true" t="shared" si="44" ref="P140:R153">O124</f>
        <v>#REF!</v>
      </c>
      <c r="Q140" s="148" t="e">
        <f>P123</f>
        <v>#REF!</v>
      </c>
      <c r="R140" s="148" t="e">
        <f>Q123</f>
        <v>#REF!</v>
      </c>
      <c r="S140" s="148" t="str">
        <f t="shared" si="30"/>
        <v> </v>
      </c>
      <c r="T140" s="179"/>
      <c r="U140" s="180"/>
    </row>
    <row r="141" spans="8:21" ht="9.75">
      <c r="H141" s="262"/>
      <c r="I141" s="146" t="s">
        <v>480</v>
      </c>
      <c r="J141" s="147" t="e">
        <f t="shared" si="41"/>
        <v>#REF!</v>
      </c>
      <c r="K141" s="148" t="e">
        <f>K137&amp;$S141&amp;ActYear_m2Y</f>
        <v>#REF!</v>
      </c>
      <c r="L141" s="148" t="e">
        <f t="shared" si="43"/>
        <v>#REF!</v>
      </c>
      <c r="M141" s="148" t="e">
        <f t="shared" si="43"/>
        <v>#REF!</v>
      </c>
      <c r="N141" s="148" t="e">
        <f t="shared" si="43"/>
        <v>#REF!</v>
      </c>
      <c r="O141" s="148" t="e">
        <f>O137&amp;$S141&amp;ActYear_m2Y</f>
        <v>#REF!</v>
      </c>
      <c r="P141" s="148" t="e">
        <f t="shared" si="44"/>
        <v>#REF!</v>
      </c>
      <c r="Q141" s="148" t="e">
        <f t="shared" si="44"/>
        <v>#REF!</v>
      </c>
      <c r="R141" s="148" t="e">
        <f t="shared" si="44"/>
        <v>#REF!</v>
      </c>
      <c r="S141" s="148" t="str">
        <f t="shared" si="30"/>
        <v> </v>
      </c>
      <c r="T141" s="179"/>
      <c r="U141" s="180"/>
    </row>
    <row r="142" spans="8:21" ht="10.5" thickBot="1">
      <c r="H142" s="262"/>
      <c r="I142" s="152" t="s">
        <v>481</v>
      </c>
      <c r="J142" s="153" t="e">
        <f t="shared" si="41"/>
        <v>#REF!</v>
      </c>
      <c r="K142" s="154" t="e">
        <f>K137&amp;$S142&amp;ActY_m2Y</f>
        <v>#REF!</v>
      </c>
      <c r="L142" s="154" t="e">
        <f t="shared" si="43"/>
        <v>#REF!</v>
      </c>
      <c r="M142" s="154" t="e">
        <f t="shared" si="43"/>
        <v>#REF!</v>
      </c>
      <c r="N142" s="154" t="e">
        <f t="shared" si="43"/>
        <v>#REF!</v>
      </c>
      <c r="O142" s="154" t="e">
        <f>O137&amp;$S142&amp;ActY_m2Y</f>
        <v>#REF!</v>
      </c>
      <c r="P142" s="154" t="e">
        <f t="shared" si="44"/>
        <v>#REF!</v>
      </c>
      <c r="Q142" s="154" t="e">
        <f t="shared" si="44"/>
        <v>#REF!</v>
      </c>
      <c r="R142" s="154" t="e">
        <f t="shared" si="44"/>
        <v>#REF!</v>
      </c>
      <c r="S142" s="154" t="str">
        <f t="shared" si="30"/>
        <v> </v>
      </c>
      <c r="T142" s="184"/>
      <c r="U142" s="185"/>
    </row>
    <row r="143" spans="8:21" ht="9.75">
      <c r="H143" s="262"/>
      <c r="I143" s="158" t="s">
        <v>482</v>
      </c>
      <c r="J143" s="159" t="e">
        <f t="shared" si="41"/>
        <v>#REF!</v>
      </c>
      <c r="K143" s="186" t="str">
        <f>N127</f>
        <v>03</v>
      </c>
      <c r="L143" s="186" t="str">
        <f t="shared" si="43"/>
        <v>06</v>
      </c>
      <c r="M143" s="186" t="str">
        <f t="shared" si="43"/>
        <v>09</v>
      </c>
      <c r="N143" s="186" t="str">
        <f t="shared" si="43"/>
        <v>12</v>
      </c>
      <c r="O143" s="186" t="str">
        <f>R127</f>
        <v>03</v>
      </c>
      <c r="P143" s="186" t="str">
        <f t="shared" si="44"/>
        <v>06</v>
      </c>
      <c r="Q143" s="186" t="str">
        <f t="shared" si="44"/>
        <v>09</v>
      </c>
      <c r="R143" s="186" t="str">
        <f t="shared" si="44"/>
        <v>12</v>
      </c>
      <c r="S143" s="168">
        <f t="shared" si="30"/>
      </c>
      <c r="T143" s="187"/>
      <c r="U143" s="188"/>
    </row>
    <row r="144" spans="8:21" ht="10.5" thickBot="1">
      <c r="H144" s="262"/>
      <c r="I144" s="152" t="s">
        <v>483</v>
      </c>
      <c r="J144" s="153" t="e">
        <f t="shared" si="41"/>
        <v>#REF!</v>
      </c>
      <c r="K144" s="154" t="e">
        <f>ActYear_m2Y&amp;$S144&amp;K143</f>
        <v>#REF!</v>
      </c>
      <c r="L144" s="154" t="e">
        <f t="shared" si="43"/>
        <v>#REF!</v>
      </c>
      <c r="M144" s="154" t="e">
        <f t="shared" si="43"/>
        <v>#REF!</v>
      </c>
      <c r="N144" s="154" t="e">
        <f t="shared" si="43"/>
        <v>#REF!</v>
      </c>
      <c r="O144" s="154" t="e">
        <f>ActYear_m2Y&amp;$S144&amp;O143</f>
        <v>#REF!</v>
      </c>
      <c r="P144" s="154" t="e">
        <f t="shared" si="44"/>
        <v>#REF!</v>
      </c>
      <c r="Q144" s="154" t="e">
        <f t="shared" si="44"/>
        <v>#REF!</v>
      </c>
      <c r="R144" s="154" t="e">
        <f t="shared" si="44"/>
        <v>#REF!</v>
      </c>
      <c r="S144" s="154" t="str">
        <f t="shared" si="30"/>
        <v> </v>
      </c>
      <c r="T144" s="184"/>
      <c r="U144" s="185"/>
    </row>
    <row r="145" spans="8:21" ht="9.75">
      <c r="H145" s="262"/>
      <c r="I145" s="158" t="s">
        <v>484</v>
      </c>
      <c r="J145" s="159" t="e">
        <f t="shared" si="41"/>
        <v>#REF!</v>
      </c>
      <c r="K145" s="168" t="str">
        <f>N129</f>
        <v>31 mar.</v>
      </c>
      <c r="L145" s="168" t="str">
        <f t="shared" si="43"/>
        <v>30 jun.</v>
      </c>
      <c r="M145" s="168" t="str">
        <f t="shared" si="43"/>
        <v>30 sep.</v>
      </c>
      <c r="N145" s="168" t="str">
        <f t="shared" si="43"/>
        <v>31 dec.</v>
      </c>
      <c r="O145" s="168" t="str">
        <f>R129</f>
        <v>Mar. 31</v>
      </c>
      <c r="P145" s="168" t="str">
        <f t="shared" si="44"/>
        <v>Jun. 30</v>
      </c>
      <c r="Q145" s="168" t="str">
        <f t="shared" si="44"/>
        <v>Sep. 30</v>
      </c>
      <c r="R145" s="168" t="str">
        <f t="shared" si="44"/>
        <v>Dec. 31</v>
      </c>
      <c r="S145" s="168">
        <f t="shared" si="30"/>
      </c>
      <c r="T145" s="187"/>
      <c r="U145" s="188"/>
    </row>
    <row r="146" spans="8:21" ht="9.75">
      <c r="H146" s="262"/>
      <c r="I146" s="146" t="s">
        <v>485</v>
      </c>
      <c r="J146" s="164" t="e">
        <f t="shared" si="41"/>
        <v>#REF!</v>
      </c>
      <c r="K146" s="165" t="e">
        <f>_XLL.SLUTMÅNAD(DATE(ActYear_m2Y,K143,1),0)</f>
        <v>#NAME?</v>
      </c>
      <c r="L146" s="165" t="e">
        <f t="shared" si="43"/>
        <v>#NAME?</v>
      </c>
      <c r="M146" s="165" t="e">
        <f t="shared" si="43"/>
        <v>#NAME?</v>
      </c>
      <c r="N146" s="165" t="e">
        <f t="shared" si="43"/>
        <v>#NAME?</v>
      </c>
      <c r="O146" s="165" t="e">
        <f>_XLL.SLUTMÅNAD(DATE(ActYear_m2Y,O143,1),0)</f>
        <v>#NAME?</v>
      </c>
      <c r="P146" s="165" t="e">
        <f t="shared" si="44"/>
        <v>#NAME?</v>
      </c>
      <c r="Q146" s="165" t="e">
        <f t="shared" si="44"/>
        <v>#NAME?</v>
      </c>
      <c r="R146" s="165" t="e">
        <f t="shared" si="44"/>
        <v>#NAME?</v>
      </c>
      <c r="S146" s="148">
        <f t="shared" si="30"/>
      </c>
      <c r="T146" s="179"/>
      <c r="U146" s="180"/>
    </row>
    <row r="147" spans="8:21" ht="9.75">
      <c r="H147" s="262"/>
      <c r="I147" s="146" t="s">
        <v>486</v>
      </c>
      <c r="J147" s="147" t="e">
        <f t="shared" si="41"/>
        <v>#REF!</v>
      </c>
      <c r="K147" s="148" t="e">
        <f>K145&amp;$S147&amp;ActYear_m2Y</f>
        <v>#REF!</v>
      </c>
      <c r="L147" s="148" t="e">
        <f t="shared" si="43"/>
        <v>#REF!</v>
      </c>
      <c r="M147" s="148" t="e">
        <f t="shared" si="43"/>
        <v>#REF!</v>
      </c>
      <c r="N147" s="148" t="e">
        <f t="shared" si="43"/>
        <v>#REF!</v>
      </c>
      <c r="O147" s="148" t="e">
        <f>O145&amp;","&amp;$S147&amp;ActYear_m2Y</f>
        <v>#REF!</v>
      </c>
      <c r="P147" s="148" t="e">
        <f t="shared" si="44"/>
        <v>#REF!</v>
      </c>
      <c r="Q147" s="148" t="e">
        <f t="shared" si="44"/>
        <v>#REF!</v>
      </c>
      <c r="R147" s="148" t="e">
        <f t="shared" si="44"/>
        <v>#REF!</v>
      </c>
      <c r="S147" s="148" t="str">
        <f t="shared" si="30"/>
        <v> </v>
      </c>
      <c r="T147" s="179"/>
      <c r="U147" s="180"/>
    </row>
    <row r="148" spans="8:21" ht="10.5" thickBot="1">
      <c r="H148" s="262"/>
      <c r="I148" s="152" t="s">
        <v>487</v>
      </c>
      <c r="J148" s="153" t="e">
        <f t="shared" si="41"/>
        <v>#REF!</v>
      </c>
      <c r="K148" s="154" t="e">
        <f>K145&amp;$S148&amp;ActY_m2Y</f>
        <v>#REF!</v>
      </c>
      <c r="L148" s="154" t="e">
        <f t="shared" si="43"/>
        <v>#REF!</v>
      </c>
      <c r="M148" s="154" t="e">
        <f t="shared" si="43"/>
        <v>#REF!</v>
      </c>
      <c r="N148" s="154" t="e">
        <f t="shared" si="43"/>
        <v>#REF!</v>
      </c>
      <c r="O148" s="154" t="e">
        <f>O145&amp;$S148&amp;ActY_m2Y</f>
        <v>#REF!</v>
      </c>
      <c r="P148" s="154" t="e">
        <f t="shared" si="44"/>
        <v>#REF!</v>
      </c>
      <c r="Q148" s="154" t="e">
        <f t="shared" si="44"/>
        <v>#REF!</v>
      </c>
      <c r="R148" s="154" t="e">
        <f t="shared" si="44"/>
        <v>#REF!</v>
      </c>
      <c r="S148" s="154" t="str">
        <f t="shared" si="30"/>
        <v> </v>
      </c>
      <c r="T148" s="184"/>
      <c r="U148" s="185"/>
    </row>
    <row r="149" spans="8:21" ht="9.75">
      <c r="H149" s="262"/>
      <c r="I149" s="158" t="s">
        <v>488</v>
      </c>
      <c r="J149" s="159" t="e">
        <f t="shared" si="41"/>
        <v>#REF!</v>
      </c>
      <c r="K149" s="168" t="e">
        <f>K151&amp;$S149&amp;ActYear_m2Y</f>
        <v>#REF!</v>
      </c>
      <c r="L149" s="168" t="e">
        <f t="shared" si="43"/>
        <v>#REF!</v>
      </c>
      <c r="M149" s="168" t="e">
        <f t="shared" si="43"/>
        <v>#REF!</v>
      </c>
      <c r="N149" s="168" t="e">
        <f t="shared" si="43"/>
        <v>#REF!</v>
      </c>
      <c r="O149" s="168" t="e">
        <f>O151&amp;$S149&amp;ActYear_m2Y</f>
        <v>#REF!</v>
      </c>
      <c r="P149" s="168" t="e">
        <f t="shared" si="44"/>
        <v>#REF!</v>
      </c>
      <c r="Q149" s="168" t="e">
        <f t="shared" si="44"/>
        <v>#REF!</v>
      </c>
      <c r="R149" s="168" t="e">
        <f t="shared" si="44"/>
        <v>#REF!</v>
      </c>
      <c r="S149" s="168" t="str">
        <f t="shared" si="30"/>
        <v> </v>
      </c>
      <c r="T149" s="187"/>
      <c r="U149" s="188"/>
    </row>
    <row r="150" spans="8:21" ht="10.5" thickBot="1">
      <c r="H150" s="262"/>
      <c r="I150" s="152" t="s">
        <v>489</v>
      </c>
      <c r="J150" s="153" t="e">
        <f t="shared" si="41"/>
        <v>#REF!</v>
      </c>
      <c r="K150" s="154" t="e">
        <f>K151&amp;$S149&amp;ActY_m2Y</f>
        <v>#REF!</v>
      </c>
      <c r="L150" s="154" t="e">
        <f t="shared" si="43"/>
        <v>#REF!</v>
      </c>
      <c r="M150" s="154" t="e">
        <f t="shared" si="43"/>
        <v>#REF!</v>
      </c>
      <c r="N150" s="154" t="e">
        <f t="shared" si="43"/>
        <v>#REF!</v>
      </c>
      <c r="O150" s="154" t="e">
        <f>O151&amp;$S149&amp;ActY_m2Y</f>
        <v>#REF!</v>
      </c>
      <c r="P150" s="154" t="e">
        <f t="shared" si="44"/>
        <v>#REF!</v>
      </c>
      <c r="Q150" s="154" t="e">
        <f t="shared" si="44"/>
        <v>#REF!</v>
      </c>
      <c r="R150" s="154" t="e">
        <f t="shared" si="44"/>
        <v>#REF!</v>
      </c>
      <c r="S150" s="154">
        <f t="shared" si="30"/>
      </c>
      <c r="T150" s="184"/>
      <c r="U150" s="185"/>
    </row>
    <row r="151" spans="8:21" ht="9.75">
      <c r="H151" s="262"/>
      <c r="I151" s="158" t="s">
        <v>490</v>
      </c>
      <c r="J151" s="159" t="e">
        <f t="shared" si="41"/>
        <v>#REF!</v>
      </c>
      <c r="K151" s="168" t="str">
        <f>N135</f>
        <v>jan-mar</v>
      </c>
      <c r="L151" s="168" t="str">
        <f t="shared" si="43"/>
        <v>apr-jun</v>
      </c>
      <c r="M151" s="168" t="str">
        <f t="shared" si="43"/>
        <v>jul-sep</v>
      </c>
      <c r="N151" s="168" t="str">
        <f t="shared" si="43"/>
        <v>okt-dec</v>
      </c>
      <c r="O151" s="168" t="str">
        <f>R135</f>
        <v>Jan-Mar</v>
      </c>
      <c r="P151" s="168" t="str">
        <f t="shared" si="44"/>
        <v>Apr-Jun</v>
      </c>
      <c r="Q151" s="168" t="str">
        <f t="shared" si="44"/>
        <v>Jul-Sep</v>
      </c>
      <c r="R151" s="168" t="str">
        <f t="shared" si="44"/>
        <v>Oct-Dec</v>
      </c>
      <c r="S151" s="168">
        <f t="shared" si="30"/>
      </c>
      <c r="T151" s="187"/>
      <c r="U151" s="188"/>
    </row>
    <row r="152" spans="8:21" ht="10.5" thickBot="1">
      <c r="H152" s="263"/>
      <c r="I152" s="190" t="s">
        <v>491</v>
      </c>
      <c r="J152" s="191" t="e">
        <f t="shared" si="41"/>
        <v>#REF!</v>
      </c>
      <c r="K152" s="192" t="str">
        <f>N136</f>
        <v>jan-mar</v>
      </c>
      <c r="L152" s="192" t="str">
        <f t="shared" si="43"/>
        <v>jan-jun</v>
      </c>
      <c r="M152" s="192" t="str">
        <f t="shared" si="43"/>
        <v>jan-sep</v>
      </c>
      <c r="N152" s="192" t="str">
        <f t="shared" si="43"/>
        <v>jan-dec</v>
      </c>
      <c r="O152" s="192" t="str">
        <f>R136</f>
        <v>Jan-Mar</v>
      </c>
      <c r="P152" s="192" t="str">
        <f t="shared" si="44"/>
        <v>Jan-Jun</v>
      </c>
      <c r="Q152" s="192" t="str">
        <f t="shared" si="44"/>
        <v>Jan-Sep</v>
      </c>
      <c r="R152" s="192" t="str">
        <f t="shared" si="44"/>
        <v>Jan-Dec</v>
      </c>
      <c r="S152" s="192">
        <f t="shared" si="30"/>
      </c>
      <c r="T152" s="193"/>
      <c r="U152" s="194"/>
    </row>
    <row r="153" spans="8:21" ht="10.5" thickTop="1">
      <c r="H153" s="261" t="s">
        <v>492</v>
      </c>
      <c r="I153" s="172" t="s">
        <v>493</v>
      </c>
      <c r="J153" s="173" t="e">
        <f t="shared" si="41"/>
        <v>#REF!</v>
      </c>
      <c r="K153" s="174">
        <f>N137</f>
        <v>4</v>
      </c>
      <c r="L153" s="174">
        <f t="shared" si="43"/>
        <v>1</v>
      </c>
      <c r="M153" s="174">
        <f t="shared" si="43"/>
        <v>2</v>
      </c>
      <c r="N153" s="174">
        <f t="shared" si="43"/>
        <v>3</v>
      </c>
      <c r="O153" s="174">
        <f>R137</f>
        <v>4</v>
      </c>
      <c r="P153" s="174">
        <f t="shared" si="44"/>
        <v>1</v>
      </c>
      <c r="Q153" s="174">
        <f t="shared" si="44"/>
        <v>2</v>
      </c>
      <c r="R153" s="174">
        <f t="shared" si="44"/>
        <v>3</v>
      </c>
      <c r="S153" s="174">
        <f aca="true" t="shared" si="45" ref="S153:S168">IF(S137="","",S137)</f>
      </c>
      <c r="T153" s="175"/>
      <c r="U153" s="176"/>
    </row>
    <row r="154" spans="8:21" ht="9.75">
      <c r="H154" s="262"/>
      <c r="I154" s="146" t="s">
        <v>494</v>
      </c>
      <c r="J154" s="147" t="e">
        <f t="shared" si="41"/>
        <v>#REF!</v>
      </c>
      <c r="K154" s="148" t="str">
        <f aca="true" t="shared" si="46" ref="K154:R154">"Q"&amp;K153</f>
        <v>Q4</v>
      </c>
      <c r="L154" s="148" t="str">
        <f t="shared" si="46"/>
        <v>Q1</v>
      </c>
      <c r="M154" s="148" t="str">
        <f t="shared" si="46"/>
        <v>Q2</v>
      </c>
      <c r="N154" s="148" t="str">
        <f t="shared" si="46"/>
        <v>Q3</v>
      </c>
      <c r="O154" s="148" t="str">
        <f t="shared" si="46"/>
        <v>Q4</v>
      </c>
      <c r="P154" s="148" t="str">
        <f t="shared" si="46"/>
        <v>Q1</v>
      </c>
      <c r="Q154" s="148" t="str">
        <f t="shared" si="46"/>
        <v>Q2</v>
      </c>
      <c r="R154" s="148" t="str">
        <f t="shared" si="46"/>
        <v>Q3</v>
      </c>
      <c r="S154" s="148">
        <f t="shared" si="45"/>
      </c>
      <c r="T154" s="179"/>
      <c r="U154" s="180"/>
    </row>
    <row r="155" spans="8:21" ht="9.75">
      <c r="H155" s="262"/>
      <c r="I155" s="146" t="s">
        <v>495</v>
      </c>
      <c r="J155" s="147" t="e">
        <f t="shared" si="41"/>
        <v>#REF!</v>
      </c>
      <c r="K155" s="148" t="e">
        <f>K154&amp;$S155&amp;ActYear_m3Y</f>
        <v>#REF!</v>
      </c>
      <c r="L155" s="148" t="e">
        <f aca="true" t="shared" si="47" ref="L155:N168">K139</f>
        <v>#REF!</v>
      </c>
      <c r="M155" s="148" t="e">
        <f t="shared" si="47"/>
        <v>#REF!</v>
      </c>
      <c r="N155" s="148" t="e">
        <f t="shared" si="47"/>
        <v>#REF!</v>
      </c>
      <c r="O155" s="148" t="e">
        <f>O154&amp;$S155&amp;ActYear_m3Y</f>
        <v>#REF!</v>
      </c>
      <c r="P155" s="148" t="e">
        <f>O139</f>
        <v>#REF!</v>
      </c>
      <c r="Q155" s="148" t="e">
        <f>P139</f>
        <v>#REF!</v>
      </c>
      <c r="R155" s="148" t="e">
        <f>Q139</f>
        <v>#REF!</v>
      </c>
      <c r="S155" s="148" t="str">
        <f t="shared" si="45"/>
        <v> </v>
      </c>
      <c r="T155" s="179"/>
      <c r="U155" s="180"/>
    </row>
    <row r="156" spans="8:21" ht="9.75">
      <c r="H156" s="262"/>
      <c r="I156" s="146" t="s">
        <v>496</v>
      </c>
      <c r="J156" s="147" t="e">
        <f t="shared" si="41"/>
        <v>#REF!</v>
      </c>
      <c r="K156" s="148" t="e">
        <f>K154&amp;$S156&amp;ActY_m3Y</f>
        <v>#REF!</v>
      </c>
      <c r="L156" s="148" t="e">
        <f t="shared" si="47"/>
        <v>#REF!</v>
      </c>
      <c r="M156" s="148" t="e">
        <f t="shared" si="47"/>
        <v>#REF!</v>
      </c>
      <c r="N156" s="148" t="e">
        <f t="shared" si="47"/>
        <v>#REF!</v>
      </c>
      <c r="O156" s="148" t="e">
        <f>O154&amp;$S156&amp;ActY_m3Y</f>
        <v>#REF!</v>
      </c>
      <c r="P156" s="148" t="e">
        <f aca="true" t="shared" si="48" ref="P156:R168">O140</f>
        <v>#REF!</v>
      </c>
      <c r="Q156" s="148" t="e">
        <f>P139</f>
        <v>#REF!</v>
      </c>
      <c r="R156" s="148" t="e">
        <f>Q139</f>
        <v>#REF!</v>
      </c>
      <c r="S156" s="148" t="str">
        <f t="shared" si="45"/>
        <v> </v>
      </c>
      <c r="T156" s="179"/>
      <c r="U156" s="180"/>
    </row>
    <row r="157" spans="8:21" ht="9.75">
      <c r="H157" s="262"/>
      <c r="I157" s="146" t="s">
        <v>497</v>
      </c>
      <c r="J157" s="147" t="e">
        <f t="shared" si="41"/>
        <v>#REF!</v>
      </c>
      <c r="K157" s="148" t="e">
        <f>K153&amp;$S157&amp;ActYear_m3Y</f>
        <v>#REF!</v>
      </c>
      <c r="L157" s="148" t="e">
        <f t="shared" si="47"/>
        <v>#REF!</v>
      </c>
      <c r="M157" s="148" t="e">
        <f t="shared" si="47"/>
        <v>#REF!</v>
      </c>
      <c r="N157" s="148" t="e">
        <f t="shared" si="47"/>
        <v>#REF!</v>
      </c>
      <c r="O157" s="148" t="e">
        <f>O153&amp;$S157&amp;ActYear_m3Y</f>
        <v>#REF!</v>
      </c>
      <c r="P157" s="148" t="e">
        <f t="shared" si="48"/>
        <v>#REF!</v>
      </c>
      <c r="Q157" s="148" t="e">
        <f t="shared" si="48"/>
        <v>#REF!</v>
      </c>
      <c r="R157" s="148" t="e">
        <f t="shared" si="48"/>
        <v>#REF!</v>
      </c>
      <c r="S157" s="148" t="str">
        <f t="shared" si="45"/>
        <v> </v>
      </c>
      <c r="T157" s="179"/>
      <c r="U157" s="180"/>
    </row>
    <row r="158" spans="8:21" ht="10.5" thickBot="1">
      <c r="H158" s="262"/>
      <c r="I158" s="152" t="s">
        <v>498</v>
      </c>
      <c r="J158" s="153" t="e">
        <f t="shared" si="41"/>
        <v>#REF!</v>
      </c>
      <c r="K158" s="154" t="e">
        <f>K153&amp;$S158&amp;ActY_m3Y</f>
        <v>#REF!</v>
      </c>
      <c r="L158" s="154" t="e">
        <f t="shared" si="47"/>
        <v>#REF!</v>
      </c>
      <c r="M158" s="154" t="e">
        <f t="shared" si="47"/>
        <v>#REF!</v>
      </c>
      <c r="N158" s="154" t="e">
        <f t="shared" si="47"/>
        <v>#REF!</v>
      </c>
      <c r="O158" s="154" t="e">
        <f>O153&amp;$S158&amp;ActY_m3Y</f>
        <v>#REF!</v>
      </c>
      <c r="P158" s="154" t="e">
        <f t="shared" si="48"/>
        <v>#REF!</v>
      </c>
      <c r="Q158" s="154" t="e">
        <f t="shared" si="48"/>
        <v>#REF!</v>
      </c>
      <c r="R158" s="154" t="e">
        <f t="shared" si="48"/>
        <v>#REF!</v>
      </c>
      <c r="S158" s="154" t="str">
        <f t="shared" si="45"/>
        <v> </v>
      </c>
      <c r="T158" s="184"/>
      <c r="U158" s="185"/>
    </row>
    <row r="159" spans="8:21" ht="9.75">
      <c r="H159" s="262"/>
      <c r="I159" s="158" t="s">
        <v>499</v>
      </c>
      <c r="J159" s="159" t="e">
        <f t="shared" si="41"/>
        <v>#REF!</v>
      </c>
      <c r="K159" s="186" t="str">
        <f>N143</f>
        <v>12</v>
      </c>
      <c r="L159" s="186" t="str">
        <f t="shared" si="47"/>
        <v>03</v>
      </c>
      <c r="M159" s="186" t="str">
        <f t="shared" si="47"/>
        <v>06</v>
      </c>
      <c r="N159" s="186" t="str">
        <f t="shared" si="47"/>
        <v>09</v>
      </c>
      <c r="O159" s="186" t="str">
        <f>R143</f>
        <v>12</v>
      </c>
      <c r="P159" s="186" t="str">
        <f t="shared" si="48"/>
        <v>03</v>
      </c>
      <c r="Q159" s="186" t="str">
        <f t="shared" si="48"/>
        <v>06</v>
      </c>
      <c r="R159" s="186" t="str">
        <f t="shared" si="48"/>
        <v>09</v>
      </c>
      <c r="S159" s="168">
        <f t="shared" si="45"/>
      </c>
      <c r="T159" s="187"/>
      <c r="U159" s="188"/>
    </row>
    <row r="160" spans="8:21" ht="10.5" thickBot="1">
      <c r="H160" s="262"/>
      <c r="I160" s="152" t="s">
        <v>500</v>
      </c>
      <c r="J160" s="153" t="e">
        <f t="shared" si="41"/>
        <v>#REF!</v>
      </c>
      <c r="K160" s="154" t="e">
        <f>ActYear_m3Y&amp;$S160&amp;K159</f>
        <v>#REF!</v>
      </c>
      <c r="L160" s="154" t="e">
        <f t="shared" si="47"/>
        <v>#REF!</v>
      </c>
      <c r="M160" s="154" t="e">
        <f t="shared" si="47"/>
        <v>#REF!</v>
      </c>
      <c r="N160" s="154" t="e">
        <f t="shared" si="47"/>
        <v>#REF!</v>
      </c>
      <c r="O160" s="154" t="e">
        <f>ActYear_m3Y&amp;$S160&amp;O159</f>
        <v>#REF!</v>
      </c>
      <c r="P160" s="154" t="e">
        <f t="shared" si="48"/>
        <v>#REF!</v>
      </c>
      <c r="Q160" s="154" t="e">
        <f t="shared" si="48"/>
        <v>#REF!</v>
      </c>
      <c r="R160" s="154" t="e">
        <f t="shared" si="48"/>
        <v>#REF!</v>
      </c>
      <c r="S160" s="154" t="str">
        <f t="shared" si="45"/>
        <v> </v>
      </c>
      <c r="T160" s="184"/>
      <c r="U160" s="185"/>
    </row>
    <row r="161" spans="8:21" ht="9.75">
      <c r="H161" s="262"/>
      <c r="I161" s="158" t="s">
        <v>501</v>
      </c>
      <c r="J161" s="159" t="e">
        <f t="shared" si="41"/>
        <v>#REF!</v>
      </c>
      <c r="K161" s="168" t="str">
        <f>N145</f>
        <v>31 dec.</v>
      </c>
      <c r="L161" s="168" t="str">
        <f t="shared" si="47"/>
        <v>31 mar.</v>
      </c>
      <c r="M161" s="168" t="str">
        <f t="shared" si="47"/>
        <v>30 jun.</v>
      </c>
      <c r="N161" s="168" t="str">
        <f t="shared" si="47"/>
        <v>30 sep.</v>
      </c>
      <c r="O161" s="168" t="str">
        <f>R145</f>
        <v>Dec. 31</v>
      </c>
      <c r="P161" s="168" t="str">
        <f t="shared" si="48"/>
        <v>Mar. 31</v>
      </c>
      <c r="Q161" s="168" t="str">
        <f t="shared" si="48"/>
        <v>Jun. 30</v>
      </c>
      <c r="R161" s="168" t="str">
        <f t="shared" si="48"/>
        <v>Sep. 30</v>
      </c>
      <c r="S161" s="168">
        <f t="shared" si="45"/>
      </c>
      <c r="T161" s="187"/>
      <c r="U161" s="188"/>
    </row>
    <row r="162" spans="8:21" ht="9.75">
      <c r="H162" s="262"/>
      <c r="I162" s="146" t="s">
        <v>502</v>
      </c>
      <c r="J162" s="164" t="e">
        <f t="shared" si="41"/>
        <v>#REF!</v>
      </c>
      <c r="K162" s="165" t="e">
        <f>_XLL.SLUTMÅNAD(DATE(ActYear_m3Y,K159,1),0)</f>
        <v>#NAME?</v>
      </c>
      <c r="L162" s="165" t="e">
        <f t="shared" si="47"/>
        <v>#NAME?</v>
      </c>
      <c r="M162" s="165" t="e">
        <f t="shared" si="47"/>
        <v>#NAME?</v>
      </c>
      <c r="N162" s="165" t="e">
        <f t="shared" si="47"/>
        <v>#NAME?</v>
      </c>
      <c r="O162" s="165" t="e">
        <f>_XLL.SLUTMÅNAD(DATE(ActYear_m3Y,O159,1),0)</f>
        <v>#NAME?</v>
      </c>
      <c r="P162" s="165" t="e">
        <f t="shared" si="48"/>
        <v>#NAME?</v>
      </c>
      <c r="Q162" s="165" t="e">
        <f t="shared" si="48"/>
        <v>#NAME?</v>
      </c>
      <c r="R162" s="165" t="e">
        <f t="shared" si="48"/>
        <v>#NAME?</v>
      </c>
      <c r="S162" s="148">
        <f t="shared" si="45"/>
      </c>
      <c r="T162" s="179"/>
      <c r="U162" s="180"/>
    </row>
    <row r="163" spans="8:21" ht="9.75">
      <c r="H163" s="262"/>
      <c r="I163" s="146" t="s">
        <v>503</v>
      </c>
      <c r="J163" s="147" t="e">
        <f t="shared" si="41"/>
        <v>#REF!</v>
      </c>
      <c r="K163" s="148" t="e">
        <f>K161&amp;$S163&amp;ActYear_m3Y</f>
        <v>#REF!</v>
      </c>
      <c r="L163" s="148" t="e">
        <f t="shared" si="47"/>
        <v>#REF!</v>
      </c>
      <c r="M163" s="148" t="e">
        <f t="shared" si="47"/>
        <v>#REF!</v>
      </c>
      <c r="N163" s="148" t="e">
        <f t="shared" si="47"/>
        <v>#REF!</v>
      </c>
      <c r="O163" s="148" t="e">
        <f>O161&amp;","&amp;$S163&amp;ActYear_m3Y</f>
        <v>#REF!</v>
      </c>
      <c r="P163" s="148" t="e">
        <f t="shared" si="48"/>
        <v>#REF!</v>
      </c>
      <c r="Q163" s="148" t="e">
        <f t="shared" si="48"/>
        <v>#REF!</v>
      </c>
      <c r="R163" s="148" t="e">
        <f t="shared" si="48"/>
        <v>#REF!</v>
      </c>
      <c r="S163" s="148" t="str">
        <f t="shared" si="45"/>
        <v> </v>
      </c>
      <c r="T163" s="179"/>
      <c r="U163" s="180"/>
    </row>
    <row r="164" spans="8:21" ht="10.5" thickBot="1">
      <c r="H164" s="262"/>
      <c r="I164" s="152" t="s">
        <v>504</v>
      </c>
      <c r="J164" s="153" t="e">
        <f t="shared" si="41"/>
        <v>#REF!</v>
      </c>
      <c r="K164" s="154" t="e">
        <f>K161&amp;$S164&amp;ActY_m3Y</f>
        <v>#REF!</v>
      </c>
      <c r="L164" s="154" t="e">
        <f t="shared" si="47"/>
        <v>#REF!</v>
      </c>
      <c r="M164" s="154" t="e">
        <f t="shared" si="47"/>
        <v>#REF!</v>
      </c>
      <c r="N164" s="154" t="e">
        <f t="shared" si="47"/>
        <v>#REF!</v>
      </c>
      <c r="O164" s="154" t="e">
        <f>O161&amp;$S164&amp;ActY_m3Y</f>
        <v>#REF!</v>
      </c>
      <c r="P164" s="154" t="e">
        <f t="shared" si="48"/>
        <v>#REF!</v>
      </c>
      <c r="Q164" s="154" t="e">
        <f t="shared" si="48"/>
        <v>#REF!</v>
      </c>
      <c r="R164" s="154" t="e">
        <f t="shared" si="48"/>
        <v>#REF!</v>
      </c>
      <c r="S164" s="154" t="str">
        <f t="shared" si="45"/>
        <v> </v>
      </c>
      <c r="T164" s="184"/>
      <c r="U164" s="185"/>
    </row>
    <row r="165" spans="8:21" ht="9.75">
      <c r="H165" s="262"/>
      <c r="I165" s="158" t="s">
        <v>505</v>
      </c>
      <c r="J165" s="159" t="e">
        <f t="shared" si="41"/>
        <v>#REF!</v>
      </c>
      <c r="K165" s="168" t="e">
        <f>K167&amp;$S165&amp;ActYear_m3Y</f>
        <v>#REF!</v>
      </c>
      <c r="L165" s="168" t="e">
        <f t="shared" si="47"/>
        <v>#REF!</v>
      </c>
      <c r="M165" s="168" t="e">
        <f t="shared" si="47"/>
        <v>#REF!</v>
      </c>
      <c r="N165" s="168" t="e">
        <f t="shared" si="47"/>
        <v>#REF!</v>
      </c>
      <c r="O165" s="168" t="e">
        <f>O167&amp;$S165&amp;ActYear_m3Y</f>
        <v>#REF!</v>
      </c>
      <c r="P165" s="168" t="e">
        <f t="shared" si="48"/>
        <v>#REF!</v>
      </c>
      <c r="Q165" s="168" t="e">
        <f t="shared" si="48"/>
        <v>#REF!</v>
      </c>
      <c r="R165" s="168" t="e">
        <f t="shared" si="48"/>
        <v>#REF!</v>
      </c>
      <c r="S165" s="168" t="str">
        <f t="shared" si="45"/>
        <v> </v>
      </c>
      <c r="T165" s="187"/>
      <c r="U165" s="188"/>
    </row>
    <row r="166" spans="8:21" ht="10.5" thickBot="1">
      <c r="H166" s="262"/>
      <c r="I166" s="152" t="s">
        <v>506</v>
      </c>
      <c r="J166" s="153" t="e">
        <f t="shared" si="41"/>
        <v>#REF!</v>
      </c>
      <c r="K166" s="154" t="e">
        <f>K167&amp;$S165&amp;ActY_m3Y</f>
        <v>#REF!</v>
      </c>
      <c r="L166" s="154" t="e">
        <f t="shared" si="47"/>
        <v>#REF!</v>
      </c>
      <c r="M166" s="154" t="e">
        <f t="shared" si="47"/>
        <v>#REF!</v>
      </c>
      <c r="N166" s="154" t="e">
        <f t="shared" si="47"/>
        <v>#REF!</v>
      </c>
      <c r="O166" s="154" t="e">
        <f>O167&amp;$S165&amp;ActY_m3Y</f>
        <v>#REF!</v>
      </c>
      <c r="P166" s="154" t="e">
        <f t="shared" si="48"/>
        <v>#REF!</v>
      </c>
      <c r="Q166" s="154" t="e">
        <f t="shared" si="48"/>
        <v>#REF!</v>
      </c>
      <c r="R166" s="154" t="e">
        <f t="shared" si="48"/>
        <v>#REF!</v>
      </c>
      <c r="S166" s="154">
        <f t="shared" si="45"/>
      </c>
      <c r="T166" s="184"/>
      <c r="U166" s="185"/>
    </row>
    <row r="167" spans="8:21" ht="9.75">
      <c r="H167" s="262"/>
      <c r="I167" s="158" t="s">
        <v>507</v>
      </c>
      <c r="J167" s="159" t="e">
        <f>INDEX(K167:R167,,SelectIdx)</f>
        <v>#REF!</v>
      </c>
      <c r="K167" s="168" t="str">
        <f>N151</f>
        <v>okt-dec</v>
      </c>
      <c r="L167" s="168" t="str">
        <f t="shared" si="47"/>
        <v>jan-mar</v>
      </c>
      <c r="M167" s="168" t="str">
        <f t="shared" si="47"/>
        <v>apr-jun</v>
      </c>
      <c r="N167" s="168" t="str">
        <f t="shared" si="47"/>
        <v>jul-sep</v>
      </c>
      <c r="O167" s="168" t="str">
        <f>R151</f>
        <v>Oct-Dec</v>
      </c>
      <c r="P167" s="168" t="str">
        <f t="shared" si="48"/>
        <v>Jan-Mar</v>
      </c>
      <c r="Q167" s="168" t="str">
        <f t="shared" si="48"/>
        <v>Apr-Jun</v>
      </c>
      <c r="R167" s="168" t="str">
        <f t="shared" si="48"/>
        <v>Jul-Sep</v>
      </c>
      <c r="S167" s="168">
        <f t="shared" si="45"/>
      </c>
      <c r="T167" s="187"/>
      <c r="U167" s="188"/>
    </row>
    <row r="168" spans="8:21" ht="10.5" thickBot="1">
      <c r="H168" s="263"/>
      <c r="I168" s="190" t="s">
        <v>508</v>
      </c>
      <c r="J168" s="191" t="e">
        <f>INDEX(K168:R168,,SelectIdx)</f>
        <v>#REF!</v>
      </c>
      <c r="K168" s="192" t="str">
        <f>N152</f>
        <v>jan-dec</v>
      </c>
      <c r="L168" s="192" t="str">
        <f t="shared" si="47"/>
        <v>jan-mar</v>
      </c>
      <c r="M168" s="192" t="str">
        <f t="shared" si="47"/>
        <v>jan-jun</v>
      </c>
      <c r="N168" s="192" t="str">
        <f t="shared" si="47"/>
        <v>jan-sep</v>
      </c>
      <c r="O168" s="192" t="str">
        <f>R152</f>
        <v>Jan-Dec</v>
      </c>
      <c r="P168" s="192" t="str">
        <f t="shared" si="48"/>
        <v>Jan-Mar</v>
      </c>
      <c r="Q168" s="192" t="str">
        <f t="shared" si="48"/>
        <v>Jan-Jun</v>
      </c>
      <c r="R168" s="192" t="str">
        <f t="shared" si="48"/>
        <v>Jan-Sep</v>
      </c>
      <c r="S168" s="192">
        <f t="shared" si="45"/>
      </c>
      <c r="T168" s="193"/>
      <c r="U168" s="194"/>
    </row>
    <row r="169" ht="11.25" thickBot="1" thickTop="1">
      <c r="J169" s="195"/>
    </row>
    <row r="170" spans="8:21" ht="13.5" customHeight="1" thickTop="1">
      <c r="H170" s="258" t="s">
        <v>509</v>
      </c>
      <c r="I170" s="196" t="s">
        <v>510</v>
      </c>
      <c r="J170" s="197" t="e">
        <f aca="true" t="shared" si="49" ref="J170:J185">INDEX(K170:R170,,SelectIdx)</f>
        <v>#REF!</v>
      </c>
      <c r="K170" s="198">
        <v>1</v>
      </c>
      <c r="L170" s="198">
        <v>2</v>
      </c>
      <c r="M170" s="198">
        <v>3</v>
      </c>
      <c r="N170" s="198">
        <v>4</v>
      </c>
      <c r="O170" s="198">
        <v>1</v>
      </c>
      <c r="P170" s="198">
        <v>2</v>
      </c>
      <c r="Q170" s="198">
        <v>3</v>
      </c>
      <c r="R170" s="198">
        <v>4</v>
      </c>
      <c r="S170" s="199">
        <f aca="true" t="shared" si="50" ref="S170:S185">IF(S153="","",S153)</f>
      </c>
      <c r="T170" s="200"/>
      <c r="U170" s="201"/>
    </row>
    <row r="171" spans="8:21" ht="9.75">
      <c r="H171" s="259"/>
      <c r="I171" s="146" t="s">
        <v>511</v>
      </c>
      <c r="J171" s="147" t="e">
        <f t="shared" si="49"/>
        <v>#REF!</v>
      </c>
      <c r="K171" s="148" t="str">
        <f aca="true" t="shared" si="51" ref="K171:R171">"Q"&amp;K170</f>
        <v>Q1</v>
      </c>
      <c r="L171" s="148" t="str">
        <f t="shared" si="51"/>
        <v>Q2</v>
      </c>
      <c r="M171" s="148" t="str">
        <f t="shared" si="51"/>
        <v>Q3</v>
      </c>
      <c r="N171" s="148" t="str">
        <f t="shared" si="51"/>
        <v>Q4</v>
      </c>
      <c r="O171" s="148" t="str">
        <f t="shared" si="51"/>
        <v>Q1</v>
      </c>
      <c r="P171" s="148" t="str">
        <f t="shared" si="51"/>
        <v>Q2</v>
      </c>
      <c r="Q171" s="148" t="str">
        <f t="shared" si="51"/>
        <v>Q3</v>
      </c>
      <c r="R171" s="148" t="str">
        <f t="shared" si="51"/>
        <v>Q4</v>
      </c>
      <c r="S171" s="148">
        <f t="shared" si="50"/>
      </c>
      <c r="T171" s="179"/>
      <c r="U171" s="202"/>
    </row>
    <row r="172" spans="8:21" ht="9.75">
      <c r="H172" s="259"/>
      <c r="I172" s="146" t="s">
        <v>512</v>
      </c>
      <c r="J172" s="147" t="e">
        <f t="shared" si="49"/>
        <v>#REF!</v>
      </c>
      <c r="K172" s="148" t="e">
        <f aca="true" t="shared" si="52" ref="K172:R172">K171&amp;$S11&amp;ActYear_m1Y</f>
        <v>#REF!</v>
      </c>
      <c r="L172" s="148" t="e">
        <f t="shared" si="52"/>
        <v>#REF!</v>
      </c>
      <c r="M172" s="148" t="e">
        <f t="shared" si="52"/>
        <v>#REF!</v>
      </c>
      <c r="N172" s="148" t="e">
        <f t="shared" si="52"/>
        <v>#REF!</v>
      </c>
      <c r="O172" s="148" t="e">
        <f t="shared" si="52"/>
        <v>#REF!</v>
      </c>
      <c r="P172" s="148" t="e">
        <f t="shared" si="52"/>
        <v>#REF!</v>
      </c>
      <c r="Q172" s="148" t="e">
        <f t="shared" si="52"/>
        <v>#REF!</v>
      </c>
      <c r="R172" s="148" t="e">
        <f t="shared" si="52"/>
        <v>#REF!</v>
      </c>
      <c r="S172" s="148" t="str">
        <f t="shared" si="50"/>
        <v> </v>
      </c>
      <c r="T172" s="179"/>
      <c r="U172" s="202"/>
    </row>
    <row r="173" spans="8:21" ht="9.75">
      <c r="H173" s="259"/>
      <c r="I173" s="146" t="s">
        <v>513</v>
      </c>
      <c r="J173" s="147" t="e">
        <f t="shared" si="49"/>
        <v>#REF!</v>
      </c>
      <c r="K173" s="148" t="e">
        <f aca="true" t="shared" si="53" ref="K173:R173">K171&amp;$S12&amp;ActY_m1Y</f>
        <v>#REF!</v>
      </c>
      <c r="L173" s="148" t="e">
        <f t="shared" si="53"/>
        <v>#REF!</v>
      </c>
      <c r="M173" s="148" t="e">
        <f t="shared" si="53"/>
        <v>#REF!</v>
      </c>
      <c r="N173" s="148" t="e">
        <f t="shared" si="53"/>
        <v>#REF!</v>
      </c>
      <c r="O173" s="148" t="e">
        <f t="shared" si="53"/>
        <v>#REF!</v>
      </c>
      <c r="P173" s="148" t="e">
        <f t="shared" si="53"/>
        <v>#REF!</v>
      </c>
      <c r="Q173" s="148" t="e">
        <f t="shared" si="53"/>
        <v>#REF!</v>
      </c>
      <c r="R173" s="148" t="e">
        <f t="shared" si="53"/>
        <v>#REF!</v>
      </c>
      <c r="S173" s="148" t="str">
        <f t="shared" si="50"/>
        <v> </v>
      </c>
      <c r="T173" s="179"/>
      <c r="U173" s="202"/>
    </row>
    <row r="174" spans="8:21" ht="9.75">
      <c r="H174" s="259"/>
      <c r="I174" s="146" t="s">
        <v>514</v>
      </c>
      <c r="J174" s="147" t="e">
        <f t="shared" si="49"/>
        <v>#REF!</v>
      </c>
      <c r="K174" s="148" t="e">
        <f aca="true" t="shared" si="54" ref="K174:R174">K170&amp;$S13&amp;ActYear_m1Y</f>
        <v>#REF!</v>
      </c>
      <c r="L174" s="148" t="e">
        <f t="shared" si="54"/>
        <v>#REF!</v>
      </c>
      <c r="M174" s="148" t="e">
        <f t="shared" si="54"/>
        <v>#REF!</v>
      </c>
      <c r="N174" s="148" t="e">
        <f t="shared" si="54"/>
        <v>#REF!</v>
      </c>
      <c r="O174" s="148" t="e">
        <f t="shared" si="54"/>
        <v>#REF!</v>
      </c>
      <c r="P174" s="148" t="e">
        <f t="shared" si="54"/>
        <v>#REF!</v>
      </c>
      <c r="Q174" s="148" t="e">
        <f t="shared" si="54"/>
        <v>#REF!</v>
      </c>
      <c r="R174" s="148" t="e">
        <f t="shared" si="54"/>
        <v>#REF!</v>
      </c>
      <c r="S174" s="148" t="str">
        <f t="shared" si="50"/>
        <v> </v>
      </c>
      <c r="T174" s="179"/>
      <c r="U174" s="202"/>
    </row>
    <row r="175" spans="8:21" ht="10.5" thickBot="1">
      <c r="H175" s="259"/>
      <c r="I175" s="152" t="s">
        <v>515</v>
      </c>
      <c r="J175" s="153" t="e">
        <f t="shared" si="49"/>
        <v>#REF!</v>
      </c>
      <c r="K175" s="154" t="e">
        <f aca="true" t="shared" si="55" ref="K175:R175">K170&amp;$S14&amp;ActY_m1Y</f>
        <v>#REF!</v>
      </c>
      <c r="L175" s="154" t="e">
        <f t="shared" si="55"/>
        <v>#REF!</v>
      </c>
      <c r="M175" s="154" t="e">
        <f t="shared" si="55"/>
        <v>#REF!</v>
      </c>
      <c r="N175" s="154" t="e">
        <f t="shared" si="55"/>
        <v>#REF!</v>
      </c>
      <c r="O175" s="154" t="e">
        <f t="shared" si="55"/>
        <v>#REF!</v>
      </c>
      <c r="P175" s="154" t="e">
        <f t="shared" si="55"/>
        <v>#REF!</v>
      </c>
      <c r="Q175" s="154" t="e">
        <f t="shared" si="55"/>
        <v>#REF!</v>
      </c>
      <c r="R175" s="154" t="e">
        <f t="shared" si="55"/>
        <v>#REF!</v>
      </c>
      <c r="S175" s="154" t="str">
        <f t="shared" si="50"/>
        <v> </v>
      </c>
      <c r="T175" s="184"/>
      <c r="U175" s="203"/>
    </row>
    <row r="176" spans="8:21" ht="9.75">
      <c r="H176" s="259"/>
      <c r="I176" s="158" t="s">
        <v>516</v>
      </c>
      <c r="J176" s="159" t="e">
        <f t="shared" si="49"/>
        <v>#REF!</v>
      </c>
      <c r="K176" s="160" t="s">
        <v>280</v>
      </c>
      <c r="L176" s="160" t="s">
        <v>281</v>
      </c>
      <c r="M176" s="160" t="s">
        <v>282</v>
      </c>
      <c r="N176" s="160" t="s">
        <v>283</v>
      </c>
      <c r="O176" s="160" t="s">
        <v>280</v>
      </c>
      <c r="P176" s="160" t="s">
        <v>281</v>
      </c>
      <c r="Q176" s="160" t="s">
        <v>282</v>
      </c>
      <c r="R176" s="160" t="s">
        <v>283</v>
      </c>
      <c r="S176" s="168">
        <f t="shared" si="50"/>
      </c>
      <c r="T176" s="187"/>
      <c r="U176" s="204"/>
    </row>
    <row r="177" spans="8:21" ht="10.5" thickBot="1">
      <c r="H177" s="259"/>
      <c r="I177" s="152" t="s">
        <v>517</v>
      </c>
      <c r="J177" s="153" t="e">
        <f t="shared" si="49"/>
        <v>#REF!</v>
      </c>
      <c r="K177" s="154" t="e">
        <f aca="true" t="shared" si="56" ref="K177:R177">ActYear_m1Y&amp;$S16&amp;K176</f>
        <v>#REF!</v>
      </c>
      <c r="L177" s="154" t="e">
        <f t="shared" si="56"/>
        <v>#REF!</v>
      </c>
      <c r="M177" s="154" t="e">
        <f t="shared" si="56"/>
        <v>#REF!</v>
      </c>
      <c r="N177" s="154" t="e">
        <f t="shared" si="56"/>
        <v>#REF!</v>
      </c>
      <c r="O177" s="154" t="e">
        <f t="shared" si="56"/>
        <v>#REF!</v>
      </c>
      <c r="P177" s="154" t="e">
        <f t="shared" si="56"/>
        <v>#REF!</v>
      </c>
      <c r="Q177" s="154" t="e">
        <f t="shared" si="56"/>
        <v>#REF!</v>
      </c>
      <c r="R177" s="154" t="e">
        <f t="shared" si="56"/>
        <v>#REF!</v>
      </c>
      <c r="S177" s="154" t="str">
        <f t="shared" si="50"/>
        <v> </v>
      </c>
      <c r="T177" s="184"/>
      <c r="U177" s="203"/>
    </row>
    <row r="178" spans="8:21" ht="9.75">
      <c r="H178" s="259"/>
      <c r="I178" s="158" t="s">
        <v>518</v>
      </c>
      <c r="J178" s="159" t="e">
        <f t="shared" si="49"/>
        <v>#REF!</v>
      </c>
      <c r="K178" s="161" t="s">
        <v>290</v>
      </c>
      <c r="L178" s="161" t="s">
        <v>291</v>
      </c>
      <c r="M178" s="161" t="s">
        <v>292</v>
      </c>
      <c r="N178" s="161" t="s">
        <v>293</v>
      </c>
      <c r="O178" s="161" t="s">
        <v>294</v>
      </c>
      <c r="P178" s="161" t="s">
        <v>295</v>
      </c>
      <c r="Q178" s="161" t="s">
        <v>296</v>
      </c>
      <c r="R178" s="161" t="s">
        <v>297</v>
      </c>
      <c r="S178" s="168">
        <f t="shared" si="50"/>
      </c>
      <c r="T178" s="187"/>
      <c r="U178" s="204"/>
    </row>
    <row r="179" spans="8:21" ht="9.75">
      <c r="H179" s="259"/>
      <c r="I179" s="146" t="s">
        <v>519</v>
      </c>
      <c r="J179" s="164" t="e">
        <f t="shared" si="49"/>
        <v>#REF!</v>
      </c>
      <c r="K179" s="165" t="e">
        <f aca="true" t="shared" si="57" ref="K179:R179">_XLL.SLUTMÅNAD(DATE(ActYear_m1Y,K176,1),0)</f>
        <v>#NAME?</v>
      </c>
      <c r="L179" s="165" t="e">
        <f t="shared" si="57"/>
        <v>#NAME?</v>
      </c>
      <c r="M179" s="165" t="e">
        <f t="shared" si="57"/>
        <v>#NAME?</v>
      </c>
      <c r="N179" s="165" t="e">
        <f t="shared" si="57"/>
        <v>#NAME?</v>
      </c>
      <c r="O179" s="165" t="e">
        <f t="shared" si="57"/>
        <v>#NAME?</v>
      </c>
      <c r="P179" s="165" t="e">
        <f t="shared" si="57"/>
        <v>#NAME?</v>
      </c>
      <c r="Q179" s="165" t="e">
        <f t="shared" si="57"/>
        <v>#NAME?</v>
      </c>
      <c r="R179" s="165" t="e">
        <f t="shared" si="57"/>
        <v>#NAME?</v>
      </c>
      <c r="S179" s="148">
        <f t="shared" si="50"/>
      </c>
      <c r="T179" s="179"/>
      <c r="U179" s="202"/>
    </row>
    <row r="180" spans="8:21" ht="9.75">
      <c r="H180" s="259"/>
      <c r="I180" s="146" t="s">
        <v>520</v>
      </c>
      <c r="J180" s="147" t="e">
        <f t="shared" si="49"/>
        <v>#REF!</v>
      </c>
      <c r="K180" s="148" t="e">
        <f>K178&amp;$S19&amp;ActYear_m1Y</f>
        <v>#REF!</v>
      </c>
      <c r="L180" s="148" t="e">
        <f>L178&amp;$S19&amp;ActYear_m1Y</f>
        <v>#REF!</v>
      </c>
      <c r="M180" s="148" t="e">
        <f>M178&amp;$S19&amp;ActYear_m1Y</f>
        <v>#REF!</v>
      </c>
      <c r="N180" s="148" t="e">
        <f>N178&amp;$S19&amp;ActYear_m1Y</f>
        <v>#REF!</v>
      </c>
      <c r="O180" s="148" t="e">
        <f>O178&amp;","&amp;$S19&amp;ActYear_m1Y</f>
        <v>#REF!</v>
      </c>
      <c r="P180" s="148" t="e">
        <f>P178&amp;","&amp;$S19&amp;ActYear_m1Y</f>
        <v>#REF!</v>
      </c>
      <c r="Q180" s="148" t="e">
        <f>Q178&amp;","&amp;$S19&amp;ActYear_m1Y</f>
        <v>#REF!</v>
      </c>
      <c r="R180" s="148" t="e">
        <f>R178&amp;","&amp;$S19&amp;ActYear_m1Y</f>
        <v>#REF!</v>
      </c>
      <c r="S180" s="148" t="str">
        <f t="shared" si="50"/>
        <v> </v>
      </c>
      <c r="T180" s="179"/>
      <c r="U180" s="202"/>
    </row>
    <row r="181" spans="8:21" ht="10.5" thickBot="1">
      <c r="H181" s="259"/>
      <c r="I181" s="152" t="s">
        <v>521</v>
      </c>
      <c r="J181" s="153" t="e">
        <f t="shared" si="49"/>
        <v>#REF!</v>
      </c>
      <c r="K181" s="154" t="e">
        <f aca="true" t="shared" si="58" ref="K181:R181">K178&amp;$S20&amp;ActY_m1Y</f>
        <v>#REF!</v>
      </c>
      <c r="L181" s="154" t="e">
        <f t="shared" si="58"/>
        <v>#REF!</v>
      </c>
      <c r="M181" s="154" t="e">
        <f t="shared" si="58"/>
        <v>#REF!</v>
      </c>
      <c r="N181" s="154" t="e">
        <f t="shared" si="58"/>
        <v>#REF!</v>
      </c>
      <c r="O181" s="154" t="e">
        <f t="shared" si="58"/>
        <v>#REF!</v>
      </c>
      <c r="P181" s="154" t="e">
        <f t="shared" si="58"/>
        <v>#REF!</v>
      </c>
      <c r="Q181" s="154" t="e">
        <f t="shared" si="58"/>
        <v>#REF!</v>
      </c>
      <c r="R181" s="154" t="e">
        <f t="shared" si="58"/>
        <v>#REF!</v>
      </c>
      <c r="S181" s="154" t="str">
        <f t="shared" si="50"/>
        <v> </v>
      </c>
      <c r="T181" s="184"/>
      <c r="U181" s="203"/>
    </row>
    <row r="182" spans="8:21" ht="9.75">
      <c r="H182" s="259"/>
      <c r="I182" s="158" t="s">
        <v>522</v>
      </c>
      <c r="J182" s="159" t="e">
        <f t="shared" si="49"/>
        <v>#REF!</v>
      </c>
      <c r="K182" s="168" t="e">
        <f aca="true" t="shared" si="59" ref="K182:R182">K184&amp;$S21&amp;ActYear_m1Y</f>
        <v>#REF!</v>
      </c>
      <c r="L182" s="168" t="e">
        <f t="shared" si="59"/>
        <v>#REF!</v>
      </c>
      <c r="M182" s="168" t="e">
        <f t="shared" si="59"/>
        <v>#REF!</v>
      </c>
      <c r="N182" s="168" t="e">
        <f t="shared" si="59"/>
        <v>#REF!</v>
      </c>
      <c r="O182" s="168" t="e">
        <f t="shared" si="59"/>
        <v>#REF!</v>
      </c>
      <c r="P182" s="168" t="e">
        <f t="shared" si="59"/>
        <v>#REF!</v>
      </c>
      <c r="Q182" s="168" t="e">
        <f t="shared" si="59"/>
        <v>#REF!</v>
      </c>
      <c r="R182" s="168" t="e">
        <f t="shared" si="59"/>
        <v>#REF!</v>
      </c>
      <c r="S182" s="168" t="str">
        <f t="shared" si="50"/>
        <v> </v>
      </c>
      <c r="T182" s="187"/>
      <c r="U182" s="204"/>
    </row>
    <row r="183" spans="8:21" ht="10.5" thickBot="1">
      <c r="H183" s="259"/>
      <c r="I183" s="152" t="s">
        <v>523</v>
      </c>
      <c r="J183" s="153" t="e">
        <f t="shared" si="49"/>
        <v>#REF!</v>
      </c>
      <c r="K183" s="154" t="e">
        <f aca="true" t="shared" si="60" ref="K183:R183">K184&amp;$S21&amp;ActY_m1Y</f>
        <v>#REF!</v>
      </c>
      <c r="L183" s="154" t="e">
        <f t="shared" si="60"/>
        <v>#REF!</v>
      </c>
      <c r="M183" s="154" t="e">
        <f t="shared" si="60"/>
        <v>#REF!</v>
      </c>
      <c r="N183" s="154" t="e">
        <f t="shared" si="60"/>
        <v>#REF!</v>
      </c>
      <c r="O183" s="154" t="e">
        <f t="shared" si="60"/>
        <v>#REF!</v>
      </c>
      <c r="P183" s="154" t="e">
        <f t="shared" si="60"/>
        <v>#REF!</v>
      </c>
      <c r="Q183" s="154" t="e">
        <f t="shared" si="60"/>
        <v>#REF!</v>
      </c>
      <c r="R183" s="154" t="e">
        <f t="shared" si="60"/>
        <v>#REF!</v>
      </c>
      <c r="S183" s="154">
        <f t="shared" si="50"/>
      </c>
      <c r="T183" s="184"/>
      <c r="U183" s="203"/>
    </row>
    <row r="184" spans="8:21" ht="9.75">
      <c r="H184" s="259"/>
      <c r="I184" s="158" t="s">
        <v>524</v>
      </c>
      <c r="J184" s="159" t="e">
        <f t="shared" si="49"/>
        <v>#REF!</v>
      </c>
      <c r="K184" s="161" t="s">
        <v>525</v>
      </c>
      <c r="L184" s="161" t="s">
        <v>526</v>
      </c>
      <c r="M184" s="161" t="s">
        <v>527</v>
      </c>
      <c r="N184" s="161" t="s">
        <v>528</v>
      </c>
      <c r="O184" s="161" t="s">
        <v>315</v>
      </c>
      <c r="P184" s="161" t="s">
        <v>316</v>
      </c>
      <c r="Q184" s="161" t="s">
        <v>317</v>
      </c>
      <c r="R184" s="161" t="s">
        <v>318</v>
      </c>
      <c r="S184" s="168">
        <f t="shared" si="50"/>
      </c>
      <c r="T184" s="187"/>
      <c r="U184" s="204"/>
    </row>
    <row r="185" spans="8:21" ht="10.5" thickBot="1">
      <c r="H185" s="260"/>
      <c r="I185" s="205" t="s">
        <v>529</v>
      </c>
      <c r="J185" s="206" t="e">
        <f t="shared" si="49"/>
        <v>#REF!</v>
      </c>
      <c r="K185" s="207" t="s">
        <v>525</v>
      </c>
      <c r="L185" s="207" t="s">
        <v>530</v>
      </c>
      <c r="M185" s="207" t="s">
        <v>531</v>
      </c>
      <c r="N185" s="207" t="s">
        <v>532</v>
      </c>
      <c r="O185" s="207" t="s">
        <v>315</v>
      </c>
      <c r="P185" s="207" t="s">
        <v>323</v>
      </c>
      <c r="Q185" s="207" t="s">
        <v>324</v>
      </c>
      <c r="R185" s="207" t="s">
        <v>309</v>
      </c>
      <c r="S185" s="208">
        <f t="shared" si="50"/>
      </c>
      <c r="T185" s="209"/>
      <c r="U185" s="210"/>
    </row>
    <row r="186" ht="11.25" thickBot="1" thickTop="1"/>
    <row r="187" spans="8:21" ht="13.5" customHeight="1" thickBot="1" thickTop="1">
      <c r="H187" s="258" t="s">
        <v>533</v>
      </c>
      <c r="I187" s="196"/>
      <c r="J187" s="197" t="e">
        <f>INDEX(K187:R187,,SelectIdx)</f>
        <v>#REF!</v>
      </c>
      <c r="K187" s="198">
        <v>1</v>
      </c>
      <c r="L187" s="198">
        <v>2</v>
      </c>
      <c r="M187" s="198">
        <v>3</v>
      </c>
      <c r="N187" s="198">
        <v>4</v>
      </c>
      <c r="O187" s="198">
        <v>1</v>
      </c>
      <c r="P187" s="198">
        <v>2</v>
      </c>
      <c r="Q187" s="198">
        <v>3</v>
      </c>
      <c r="R187" s="198">
        <v>4</v>
      </c>
      <c r="S187" s="199">
        <f>IF(S170="","",S170)</f>
      </c>
      <c r="T187" s="200"/>
      <c r="U187" s="201"/>
    </row>
    <row r="188" spans="8:21" ht="10.5" thickBot="1">
      <c r="H188" s="259"/>
      <c r="I188" s="158" t="s">
        <v>534</v>
      </c>
      <c r="J188" s="159" t="e">
        <f>INDEX(K188:R188,,SelectIdx)</f>
        <v>#REF!</v>
      </c>
      <c r="K188" s="211" t="s">
        <v>535</v>
      </c>
      <c r="L188" s="160" t="s">
        <v>536</v>
      </c>
      <c r="M188" s="160" t="s">
        <v>537</v>
      </c>
      <c r="N188" s="160" t="s">
        <v>538</v>
      </c>
      <c r="O188" s="211" t="s">
        <v>539</v>
      </c>
      <c r="P188" s="160" t="s">
        <v>540</v>
      </c>
      <c r="Q188" s="160" t="s">
        <v>541</v>
      </c>
      <c r="R188" s="160" t="s">
        <v>542</v>
      </c>
      <c r="S188" s="168" t="str">
        <f>IF(S177="","",S177)</f>
        <v> </v>
      </c>
      <c r="T188" s="187"/>
      <c r="U188" s="204"/>
    </row>
    <row r="189" spans="8:21" ht="9.75">
      <c r="H189" s="259"/>
      <c r="I189" s="158" t="s">
        <v>543</v>
      </c>
      <c r="J189" s="159" t="e">
        <f>INDEX(K189:R189,,SelectIdx)</f>
        <v>#REF!</v>
      </c>
      <c r="K189" s="212" t="str">
        <f aca="true" t="shared" si="61" ref="K189:R189">K17</f>
        <v>31 mar.</v>
      </c>
      <c r="L189" s="212" t="str">
        <f t="shared" si="61"/>
        <v>30 jun.</v>
      </c>
      <c r="M189" s="212" t="str">
        <f t="shared" si="61"/>
        <v>30 sep.</v>
      </c>
      <c r="N189" s="212" t="str">
        <f t="shared" si="61"/>
        <v>31 dec.</v>
      </c>
      <c r="O189" s="212" t="str">
        <f t="shared" si="61"/>
        <v>Mar. 31</v>
      </c>
      <c r="P189" s="212" t="str">
        <f t="shared" si="61"/>
        <v>Jun. 30</v>
      </c>
      <c r="Q189" s="212" t="str">
        <f t="shared" si="61"/>
        <v>Sep. 30</v>
      </c>
      <c r="R189" s="212" t="str">
        <f t="shared" si="61"/>
        <v>Dec. 31</v>
      </c>
      <c r="S189" s="168">
        <f>IF(S178="","",S178)</f>
      </c>
      <c r="T189" s="187"/>
      <c r="U189" s="204"/>
    </row>
    <row r="190" spans="4:21" ht="10.5" thickBot="1">
      <c r="D190" s="118" t="s">
        <v>544</v>
      </c>
      <c r="H190" s="259"/>
      <c r="I190" s="152" t="s">
        <v>545</v>
      </c>
      <c r="J190" s="153" t="e">
        <f>INDEX(K190:R190,,SelectIdx)</f>
        <v>#REF!</v>
      </c>
      <c r="K190" s="154" t="e">
        <f>K188&amp;$S$190&amp;ActY_m1Y&amp;" - "&amp;K189&amp;$S$190&amp;ActY</f>
        <v>#REF!</v>
      </c>
      <c r="L190" s="154" t="e">
        <f>L188&amp;$S$190&amp;ActY_m1Y&amp;" - "&amp;L189&amp;$S$190&amp;ActY</f>
        <v>#REF!</v>
      </c>
      <c r="M190" s="154" t="e">
        <f>M188&amp;$S$190&amp;ActY_m1Y&amp;" - "&amp;M189&amp;$S$190&amp;ActY</f>
        <v>#REF!</v>
      </c>
      <c r="N190" s="154" t="e">
        <f>N188&amp;$S$190&amp;ActY&amp;" - "&amp;N189&amp;$S$190&amp;ActY</f>
        <v>#REF!</v>
      </c>
      <c r="O190" s="154" t="e">
        <f>O188&amp;$S$190&amp;ActY_m1Y&amp;" - "&amp;O189&amp;$S$190&amp;ActY</f>
        <v>#REF!</v>
      </c>
      <c r="P190" s="154" t="e">
        <f>P188&amp;$S$190&amp;ActY_m1Y&amp;" - "&amp;P189&amp;$S$190&amp;ActY</f>
        <v>#REF!</v>
      </c>
      <c r="Q190" s="154" t="e">
        <f>Q188&amp;$S$190&amp;ActY_m1Y&amp;" - "&amp;Q189&amp;$S$190&amp;ActY</f>
        <v>#REF!</v>
      </c>
      <c r="R190" s="154" t="e">
        <f>R188&amp;$S$190&amp;ActY&amp;" - "&amp;R189&amp;$S$190&amp;ActY</f>
        <v>#REF!</v>
      </c>
      <c r="S190" s="154" t="str">
        <f>IF(S182="","",S182)</f>
        <v> </v>
      </c>
      <c r="T190" s="184"/>
      <c r="U190" s="203"/>
    </row>
    <row r="191" spans="8:21" ht="10.5" thickBot="1">
      <c r="H191" s="260"/>
      <c r="I191" s="205" t="s">
        <v>546</v>
      </c>
      <c r="J191" s="206" t="e">
        <f>INDEX(K191:R191,,SelectIdx)</f>
        <v>#REF!</v>
      </c>
      <c r="K191" s="207" t="s">
        <v>547</v>
      </c>
      <c r="L191" s="207" t="s">
        <v>548</v>
      </c>
      <c r="M191" s="207" t="s">
        <v>549</v>
      </c>
      <c r="N191" s="207" t="s">
        <v>308</v>
      </c>
      <c r="O191" s="207" t="s">
        <v>550</v>
      </c>
      <c r="P191" s="207" t="s">
        <v>551</v>
      </c>
      <c r="Q191" s="207" t="s">
        <v>552</v>
      </c>
      <c r="R191" s="207" t="s">
        <v>309</v>
      </c>
      <c r="S191" s="208">
        <f>IF(S185="","",S185)</f>
      </c>
      <c r="T191" s="209"/>
      <c r="U191" s="210"/>
    </row>
    <row r="192" ht="10.5" thickTop="1"/>
  </sheetData>
  <sheetProtection/>
  <mergeCells count="14">
    <mergeCell ref="H57:H72"/>
    <mergeCell ref="I5:I6"/>
    <mergeCell ref="J5:J6"/>
    <mergeCell ref="H9:H24"/>
    <mergeCell ref="H25:H40"/>
    <mergeCell ref="H41:H56"/>
    <mergeCell ref="H170:H185"/>
    <mergeCell ref="H187:H191"/>
    <mergeCell ref="H73:H88"/>
    <mergeCell ref="H89:H104"/>
    <mergeCell ref="H105:H120"/>
    <mergeCell ref="H121:H136"/>
    <mergeCell ref="H137:H152"/>
    <mergeCell ref="H153:H168"/>
  </mergeCells>
  <dataValidations count="1">
    <dataValidation type="list" allowBlank="1" showInputMessage="1" showErrorMessage="1" sqref="C2:F2">
      <formula1>"SWE,ENG"</formula1>
    </dataValidation>
  </dataValidations>
  <printOptions/>
  <pageMargins left="0.7" right="0.7" top="0.75" bottom="0.75" header="0.3" footer="0.3"/>
  <pageSetup horizontalDpi="600" verticalDpi="600" orientation="portrait" r:id="rId1"/>
  <headerFooter>
    <oddFooter>&amp;L&amp;"Calibri"&amp;11&amp;K000000&amp;"Calibri"&amp;11&amp;K000000
&amp;1#&amp;"Calibri"&amp;8&amp;K000000 Classified as Internal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C19"/>
  <sheetViews>
    <sheetView zoomScale="90" zoomScaleNormal="90" zoomScaleSheetLayoutView="80" zoomScalePageLayoutView="0" workbookViewId="0" topLeftCell="A1">
      <selection activeCell="AC12" sqref="AC12"/>
    </sheetView>
  </sheetViews>
  <sheetFormatPr defaultColWidth="9.140625" defaultRowHeight="12.75"/>
  <cols>
    <col min="1" max="1" width="11.28125" style="66" bestFit="1" customWidth="1"/>
    <col min="2" max="2" width="12.28125" style="0" customWidth="1"/>
    <col min="3" max="3" width="11.28125" style="0" customWidth="1"/>
    <col min="4" max="4" width="31.00390625" style="0" hidden="1" customWidth="1"/>
    <col min="5" max="5" width="39.00390625" style="0" customWidth="1"/>
    <col min="6" max="10" width="0" style="0" hidden="1" customWidth="1"/>
  </cols>
  <sheetData>
    <row r="1" spans="1:5" ht="17.25">
      <c r="A1" s="68">
        <v>44377</v>
      </c>
      <c r="B1" s="32" t="s">
        <v>26</v>
      </c>
      <c r="C1" s="33"/>
      <c r="D1" s="34" t="str">
        <f>Company</f>
        <v>AB Electrolux</v>
      </c>
      <c r="E1" s="34" t="str">
        <f>Company</f>
        <v>AB Electrolux</v>
      </c>
    </row>
    <row r="2" spans="1:5" ht="12.75">
      <c r="A2" s="69"/>
      <c r="B2" s="32" t="s">
        <v>28</v>
      </c>
      <c r="C2" s="33"/>
      <c r="D2" s="35">
        <f>A1</f>
        <v>44377</v>
      </c>
      <c r="E2" s="36">
        <f>+A1</f>
        <v>44377</v>
      </c>
    </row>
    <row r="3" spans="1:5" ht="12.75">
      <c r="A3" s="69"/>
      <c r="B3" s="32" t="s">
        <v>29</v>
      </c>
      <c r="C3" s="33" t="s">
        <v>30</v>
      </c>
      <c r="D3" s="37" t="s">
        <v>31</v>
      </c>
      <c r="E3" s="37" t="s">
        <v>32</v>
      </c>
    </row>
    <row r="4" spans="1:5" ht="12.75">
      <c r="A4" s="66" t="s">
        <v>6</v>
      </c>
      <c r="B4" s="32" t="s">
        <v>33</v>
      </c>
      <c r="C4" s="16"/>
      <c r="D4" s="52" t="s">
        <v>558</v>
      </c>
      <c r="E4" s="52" t="s">
        <v>558</v>
      </c>
    </row>
    <row r="5" spans="2:17" ht="12.75">
      <c r="B5" s="32" t="s">
        <v>35</v>
      </c>
      <c r="C5" s="38" t="s">
        <v>139</v>
      </c>
      <c r="D5" s="43"/>
      <c r="E5" s="43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</row>
    <row r="6" spans="1:29" ht="15">
      <c r="A6" s="67" t="s">
        <v>7</v>
      </c>
      <c r="B6" s="41" t="s">
        <v>34</v>
      </c>
      <c r="C6" s="38" t="s">
        <v>139</v>
      </c>
      <c r="D6" s="50" t="s">
        <v>138</v>
      </c>
      <c r="E6" s="50" t="s">
        <v>138</v>
      </c>
      <c r="F6" s="30" t="s">
        <v>554</v>
      </c>
      <c r="G6" s="30" t="s">
        <v>555</v>
      </c>
      <c r="H6" s="30" t="s">
        <v>556</v>
      </c>
      <c r="I6" s="30" t="s">
        <v>557</v>
      </c>
      <c r="J6" s="30" t="s">
        <v>230</v>
      </c>
      <c r="K6" s="30" t="s">
        <v>574</v>
      </c>
      <c r="L6" s="30" t="s">
        <v>575</v>
      </c>
      <c r="M6" s="30" t="s">
        <v>601</v>
      </c>
      <c r="N6" s="30" t="s">
        <v>617</v>
      </c>
      <c r="O6" s="30" t="s">
        <v>618</v>
      </c>
      <c r="P6" s="30" t="s">
        <v>620</v>
      </c>
      <c r="Q6" s="30" t="s">
        <v>621</v>
      </c>
      <c r="R6" s="30" t="s">
        <v>625</v>
      </c>
      <c r="S6" s="30" t="s">
        <v>634</v>
      </c>
      <c r="T6" s="30" t="s">
        <v>635</v>
      </c>
      <c r="U6" s="44" t="s">
        <v>636</v>
      </c>
      <c r="V6" s="44" t="s">
        <v>638</v>
      </c>
      <c r="W6" s="44" t="s">
        <v>639</v>
      </c>
      <c r="X6" s="44" t="s">
        <v>644</v>
      </c>
      <c r="Y6" s="44" t="s">
        <v>645</v>
      </c>
      <c r="Z6" s="44" t="s">
        <v>653</v>
      </c>
      <c r="AA6" s="44" t="s">
        <v>654</v>
      </c>
      <c r="AB6" s="44" t="s">
        <v>655</v>
      </c>
      <c r="AC6" s="44" t="s">
        <v>656</v>
      </c>
    </row>
    <row r="7" spans="1:5" s="13" customFormat="1" ht="12.75">
      <c r="A7" s="65" t="s">
        <v>177</v>
      </c>
      <c r="B7" s="65"/>
      <c r="C7" s="65"/>
      <c r="D7" s="13" t="s">
        <v>3</v>
      </c>
      <c r="E7" s="13" t="s">
        <v>3</v>
      </c>
    </row>
    <row r="8" spans="1:29" ht="12.75">
      <c r="A8" s="66" t="s">
        <v>8</v>
      </c>
      <c r="B8" s="85" t="s">
        <v>11</v>
      </c>
      <c r="C8" s="66"/>
      <c r="D8" s="18" t="s">
        <v>116</v>
      </c>
      <c r="E8" s="18" t="s">
        <v>116</v>
      </c>
      <c r="F8" s="1">
        <v>3197</v>
      </c>
      <c r="G8" s="1">
        <v>3685</v>
      </c>
      <c r="H8" s="1">
        <v>3507</v>
      </c>
      <c r="I8" s="1">
        <v>3986</v>
      </c>
      <c r="J8" s="1">
        <v>3445</v>
      </c>
      <c r="K8" s="1">
        <v>3682</v>
      </c>
      <c r="L8" s="1">
        <v>3801</v>
      </c>
      <c r="M8" s="1">
        <v>4027</v>
      </c>
      <c r="N8" s="1">
        <v>3434</v>
      </c>
      <c r="O8" s="1">
        <v>3230</v>
      </c>
      <c r="P8" s="1">
        <v>3916</v>
      </c>
      <c r="Q8" s="1">
        <v>4209</v>
      </c>
      <c r="R8" s="1">
        <v>3871.1445231999996</v>
      </c>
      <c r="S8" s="1">
        <v>3668.3933384</v>
      </c>
      <c r="T8" s="1">
        <v>3735.8989230999996</v>
      </c>
      <c r="U8" s="1">
        <v>4544.604153300001</v>
      </c>
      <c r="V8" s="1">
        <v>3881.6583136</v>
      </c>
      <c r="W8" s="1">
        <v>4230.669522499999</v>
      </c>
      <c r="X8" s="1">
        <v>4709.505203600002</v>
      </c>
      <c r="Y8" s="1">
        <v>4161.7449117000015</v>
      </c>
      <c r="Z8" s="1">
        <v>3695.1585546</v>
      </c>
      <c r="AA8" s="1">
        <v>3708.9192710000007</v>
      </c>
      <c r="AB8" s="1">
        <v>3719.706253500001</v>
      </c>
      <c r="AC8" s="1">
        <v>3985.2383905999995</v>
      </c>
    </row>
    <row r="9" spans="1:29" ht="12.75">
      <c r="A9" s="66" t="s">
        <v>8</v>
      </c>
      <c r="B9" s="85" t="s">
        <v>11</v>
      </c>
      <c r="C9" s="66" t="s">
        <v>168</v>
      </c>
      <c r="D9" s="18" t="s">
        <v>172</v>
      </c>
      <c r="E9" s="18" t="s">
        <v>172</v>
      </c>
      <c r="F9" s="2">
        <v>5.8</v>
      </c>
      <c r="G9" s="2">
        <v>1</v>
      </c>
      <c r="H9" s="2">
        <v>5.1</v>
      </c>
      <c r="I9" s="2">
        <v>5.3</v>
      </c>
      <c r="J9" s="2">
        <v>2.2</v>
      </c>
      <c r="K9" s="2">
        <v>-4</v>
      </c>
      <c r="L9" s="2">
        <v>1.5</v>
      </c>
      <c r="M9" s="2">
        <v>-4.2</v>
      </c>
      <c r="N9" s="2">
        <v>-3.2</v>
      </c>
      <c r="O9" s="2">
        <v>-10.9</v>
      </c>
      <c r="P9" s="2">
        <v>9.7</v>
      </c>
      <c r="Q9" s="2">
        <v>9.720207</v>
      </c>
      <c r="R9" s="2">
        <v>18.88122</v>
      </c>
      <c r="S9" s="2">
        <v>16.2537</v>
      </c>
      <c r="T9" s="2">
        <v>-5.06780321</v>
      </c>
      <c r="U9" s="2">
        <v>6.665254039521473</v>
      </c>
      <c r="V9" s="2">
        <v>-5.249656</v>
      </c>
      <c r="W9" s="2">
        <v>6.374427333618304</v>
      </c>
      <c r="X9" s="2">
        <v>13.721</v>
      </c>
      <c r="Y9" s="2">
        <v>-14.053985058260166</v>
      </c>
      <c r="Z9" s="2">
        <v>-5.51</v>
      </c>
      <c r="AA9" s="2">
        <v>-10.689105624171225</v>
      </c>
      <c r="AB9" s="2">
        <v>-16.76</v>
      </c>
      <c r="AC9" s="2">
        <v>0.74</v>
      </c>
    </row>
    <row r="10" spans="1:29" ht="12.75">
      <c r="A10" s="66" t="s">
        <v>8</v>
      </c>
      <c r="B10" s="85" t="s">
        <v>11</v>
      </c>
      <c r="C10" s="66" t="s">
        <v>168</v>
      </c>
      <c r="D10" s="18" t="s">
        <v>559</v>
      </c>
      <c r="E10" s="18" t="s">
        <v>559</v>
      </c>
      <c r="F10" s="2">
        <v>4.2</v>
      </c>
      <c r="G10" s="2">
        <v>0</v>
      </c>
      <c r="H10" s="2">
        <v>0</v>
      </c>
      <c r="I10" s="2">
        <v>0</v>
      </c>
      <c r="J10" s="2">
        <v>0.1</v>
      </c>
      <c r="K10" s="2">
        <v>0.1</v>
      </c>
      <c r="L10" s="2">
        <v>0.2</v>
      </c>
      <c r="M10" s="2">
        <v>0.1</v>
      </c>
      <c r="N10" s="2">
        <v>0</v>
      </c>
      <c r="O10" s="2">
        <v>0</v>
      </c>
      <c r="P10" s="2">
        <v>0.4</v>
      </c>
      <c r="Q10" s="2">
        <v>1.78123767</v>
      </c>
      <c r="R10" s="2">
        <v>1.219756</v>
      </c>
      <c r="S10" s="2">
        <v>1.544</v>
      </c>
      <c r="T10" s="2">
        <v>1.1266599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</row>
    <row r="11" spans="1:29" ht="12.75">
      <c r="A11" s="66" t="s">
        <v>8</v>
      </c>
      <c r="B11" s="85" t="s">
        <v>11</v>
      </c>
      <c r="C11" s="66"/>
      <c r="D11" s="18" t="s">
        <v>118</v>
      </c>
      <c r="E11" s="18" t="s">
        <v>118</v>
      </c>
      <c r="F11" s="1">
        <v>163</v>
      </c>
      <c r="G11" s="1">
        <v>243</v>
      </c>
      <c r="H11" s="1">
        <v>270</v>
      </c>
      <c r="I11" s="1">
        <v>302</v>
      </c>
      <c r="J11" s="1">
        <v>110</v>
      </c>
      <c r="K11" s="1">
        <v>171</v>
      </c>
      <c r="L11" s="1">
        <v>-150</v>
      </c>
      <c r="M11" s="1">
        <v>315</v>
      </c>
      <c r="N11" s="1">
        <v>44</v>
      </c>
      <c r="O11" s="1">
        <v>159</v>
      </c>
      <c r="P11" s="1">
        <v>459</v>
      </c>
      <c r="Q11" s="1">
        <v>376</v>
      </c>
      <c r="R11" s="1">
        <v>392.9192763999981</v>
      </c>
      <c r="S11" s="1">
        <v>311.62444169999947</v>
      </c>
      <c r="T11" s="1">
        <v>362.12591010000017</v>
      </c>
      <c r="U11" s="1">
        <v>444.7976720999999</v>
      </c>
      <c r="V11" s="1">
        <v>283.53614379999925</v>
      </c>
      <c r="W11" s="1">
        <v>425.52353089999997</v>
      </c>
      <c r="X11" s="1">
        <v>510.83254760000204</v>
      </c>
      <c r="Y11" s="1">
        <v>87.75416560000099</v>
      </c>
      <c r="Z11" s="1">
        <v>123.62741399999938</v>
      </c>
      <c r="AA11" s="1">
        <v>199.67084250000107</v>
      </c>
      <c r="AB11" s="1">
        <v>244.9900184000012</v>
      </c>
      <c r="AC11" s="1">
        <v>-108.09079340000272</v>
      </c>
    </row>
    <row r="12" spans="1:29" ht="12.75">
      <c r="A12" s="66" t="s">
        <v>8</v>
      </c>
      <c r="B12" s="85" t="s">
        <v>11</v>
      </c>
      <c r="C12" s="66" t="s">
        <v>168</v>
      </c>
      <c r="D12" s="18" t="s">
        <v>169</v>
      </c>
      <c r="E12" s="18" t="s">
        <v>169</v>
      </c>
      <c r="F12" s="2">
        <v>5.1</v>
      </c>
      <c r="G12" s="2">
        <v>6.6</v>
      </c>
      <c r="H12" s="2">
        <v>7.7</v>
      </c>
      <c r="I12" s="2">
        <v>7.6</v>
      </c>
      <c r="J12" s="2">
        <v>3.2</v>
      </c>
      <c r="K12" s="2">
        <v>4.7</v>
      </c>
      <c r="L12" s="2">
        <v>-4.046329913180742</v>
      </c>
      <c r="M12" s="2">
        <v>7.822200148994289</v>
      </c>
      <c r="N12" s="2">
        <v>1.3</v>
      </c>
      <c r="O12" s="2">
        <v>4.9</v>
      </c>
      <c r="P12" s="2">
        <v>11.7</v>
      </c>
      <c r="Q12" s="2">
        <v>8.933238298883344</v>
      </c>
      <c r="R12" s="2">
        <v>10.149951107358865</v>
      </c>
      <c r="S12" s="2">
        <v>8.494848097066845</v>
      </c>
      <c r="T12" s="2">
        <v>9.693139925732055</v>
      </c>
      <c r="U12" s="2">
        <v>9.787379870632206</v>
      </c>
      <c r="V12" s="2">
        <v>7.3045106213132005</v>
      </c>
      <c r="W12" s="2">
        <v>10.058065954736833</v>
      </c>
      <c r="X12" s="2">
        <v>10.846841133321487</v>
      </c>
      <c r="Y12" s="2">
        <v>2.108590686404073</v>
      </c>
      <c r="Z12" s="2">
        <v>3.345659250429165</v>
      </c>
      <c r="AA12" s="2">
        <v>5.383531641177128</v>
      </c>
      <c r="AB12" s="2">
        <v>6.586273262021213</v>
      </c>
      <c r="AC12" s="2">
        <v>-2.7122792366689157</v>
      </c>
    </row>
    <row r="13" spans="1:29" ht="15">
      <c r="A13" s="66" t="s">
        <v>8</v>
      </c>
      <c r="B13" s="85" t="s">
        <v>11</v>
      </c>
      <c r="C13" s="66"/>
      <c r="D13" s="18" t="s">
        <v>222</v>
      </c>
      <c r="E13" s="18" t="s">
        <v>222</v>
      </c>
      <c r="F13" s="1">
        <v>163</v>
      </c>
      <c r="G13" s="1">
        <v>243</v>
      </c>
      <c r="H13" s="1">
        <v>270</v>
      </c>
      <c r="I13" s="1">
        <v>302</v>
      </c>
      <c r="J13" s="1">
        <v>110</v>
      </c>
      <c r="K13" s="1">
        <v>171</v>
      </c>
      <c r="L13" s="1">
        <v>248</v>
      </c>
      <c r="M13" s="1">
        <v>315</v>
      </c>
      <c r="N13" s="1">
        <v>44</v>
      </c>
      <c r="O13" s="1">
        <v>159</v>
      </c>
      <c r="P13" s="1">
        <v>459</v>
      </c>
      <c r="Q13" s="1">
        <v>376</v>
      </c>
      <c r="R13" s="1">
        <v>392.9192763999981</v>
      </c>
      <c r="S13" s="1">
        <v>311.62444169999947</v>
      </c>
      <c r="T13" s="1">
        <v>362.12591010000017</v>
      </c>
      <c r="U13" s="1">
        <v>444.7976720999999</v>
      </c>
      <c r="V13" s="1">
        <v>283.53614379999925</v>
      </c>
      <c r="W13" s="1">
        <v>425.52353089999997</v>
      </c>
      <c r="X13" s="1">
        <v>510.83254760000204</v>
      </c>
      <c r="Y13" s="1">
        <v>153.754165600001</v>
      </c>
      <c r="Z13" s="1">
        <v>123.62741399999938</v>
      </c>
      <c r="AA13" s="1">
        <v>199.67084250000107</v>
      </c>
      <c r="AB13" s="1">
        <v>244.9900184000012</v>
      </c>
      <c r="AC13" s="1">
        <v>215.2082065999986</v>
      </c>
    </row>
    <row r="14" spans="1:29" ht="15">
      <c r="A14" s="66" t="s">
        <v>8</v>
      </c>
      <c r="B14" s="214" t="s">
        <v>237</v>
      </c>
      <c r="C14" s="66" t="s">
        <v>168</v>
      </c>
      <c r="D14" s="86" t="s">
        <v>223</v>
      </c>
      <c r="E14" s="86" t="s">
        <v>223</v>
      </c>
      <c r="F14" s="2">
        <v>5.1</v>
      </c>
      <c r="G14" s="2">
        <v>6.6</v>
      </c>
      <c r="H14" s="2">
        <v>7.7</v>
      </c>
      <c r="I14" s="2">
        <v>7.6</v>
      </c>
      <c r="J14" s="2">
        <v>3.2</v>
      </c>
      <c r="K14" s="2">
        <v>4.7</v>
      </c>
      <c r="L14" s="2">
        <v>6.524598789792161</v>
      </c>
      <c r="M14" s="2">
        <v>7.822200148994289</v>
      </c>
      <c r="N14" s="2">
        <v>1.3</v>
      </c>
      <c r="O14" s="2">
        <v>4.9</v>
      </c>
      <c r="P14" s="2">
        <v>11.7</v>
      </c>
      <c r="Q14" s="2">
        <v>8.933238298883344</v>
      </c>
      <c r="R14" s="2">
        <v>10.149951107358806</v>
      </c>
      <c r="S14" s="2">
        <v>8.494848097066848</v>
      </c>
      <c r="T14" s="2">
        <v>9.69313992573206</v>
      </c>
      <c r="U14" s="2">
        <v>9.787379870632215</v>
      </c>
      <c r="V14" s="2">
        <v>7.304510621313211</v>
      </c>
      <c r="W14" s="2">
        <v>10.058065954736838</v>
      </c>
      <c r="X14" s="2">
        <v>10.846841133321513</v>
      </c>
      <c r="Y14" s="2">
        <v>3.694463953514995</v>
      </c>
      <c r="Z14" s="2">
        <v>3.345659250429161</v>
      </c>
      <c r="AA14" s="2">
        <v>5.383531641177127</v>
      </c>
      <c r="AB14" s="2">
        <v>6.586273262021203</v>
      </c>
      <c r="AC14" s="2">
        <v>5.400133831582352</v>
      </c>
    </row>
    <row r="15" spans="1:3" ht="12.75">
      <c r="A15" s="66" t="s">
        <v>10</v>
      </c>
      <c r="B15" s="66"/>
      <c r="C15" s="66"/>
    </row>
    <row r="16" spans="1:5" ht="12.75">
      <c r="A16" s="66" t="s">
        <v>16</v>
      </c>
      <c r="B16" s="66"/>
      <c r="C16" s="66"/>
      <c r="D16" s="18" t="s">
        <v>209</v>
      </c>
      <c r="E16" s="18" t="s">
        <v>209</v>
      </c>
    </row>
    <row r="17" spans="1:5" ht="12.75">
      <c r="A17" s="66" t="s">
        <v>16</v>
      </c>
      <c r="D17" s="16" t="s">
        <v>553</v>
      </c>
      <c r="E17" s="16" t="s">
        <v>553</v>
      </c>
    </row>
    <row r="18" spans="1:5" ht="12.75">
      <c r="A18" s="66" t="s">
        <v>10</v>
      </c>
      <c r="B18" s="16"/>
      <c r="C18" s="16"/>
      <c r="D18" s="16"/>
      <c r="E18" s="16"/>
    </row>
    <row r="19" spans="1:17" s="16" customFormat="1" ht="144.75">
      <c r="A19" s="66" t="s">
        <v>615</v>
      </c>
      <c r="E19" s="61" t="s">
        <v>616</v>
      </c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&amp;L&amp;D/&amp;F</oddHeader>
    <oddFooter>&amp;L&amp;"Calibri"&amp;11&amp;K000000&amp;"Calibri"&amp;11&amp;K000000
&amp;1#&amp;"Calibri"&amp;8&amp;K000000 Classified as Internal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SheetLayoutView="80" zoomScalePageLayoutView="0" workbookViewId="0" topLeftCell="A1">
      <selection activeCell="AF22" sqref="AF22"/>
    </sheetView>
  </sheetViews>
  <sheetFormatPr defaultColWidth="9.140625" defaultRowHeight="12.75"/>
  <cols>
    <col min="1" max="1" width="11.28125" style="66" bestFit="1" customWidth="1"/>
    <col min="2" max="2" width="12.28125" style="0" bestFit="1" customWidth="1"/>
    <col min="3" max="3" width="11.28125" style="0" bestFit="1" customWidth="1"/>
    <col min="4" max="4" width="23.28125" style="0" hidden="1" customWidth="1"/>
    <col min="5" max="5" width="30.7109375" style="0" customWidth="1"/>
  </cols>
  <sheetData>
    <row r="1" spans="1:5" ht="17.25">
      <c r="A1" s="68">
        <v>44196</v>
      </c>
      <c r="B1" s="32" t="s">
        <v>26</v>
      </c>
      <c r="C1" s="33"/>
      <c r="D1" s="34" t="str">
        <f>Company</f>
        <v>AB Electrolux</v>
      </c>
      <c r="E1" s="34" t="str">
        <f>Company</f>
        <v>AB Electrolux</v>
      </c>
    </row>
    <row r="2" spans="1:5" ht="12.75">
      <c r="A2" s="69"/>
      <c r="B2" s="32" t="s">
        <v>28</v>
      </c>
      <c r="C2" s="33"/>
      <c r="D2" s="35">
        <f>A1</f>
        <v>44196</v>
      </c>
      <c r="E2" s="36">
        <f>+A1</f>
        <v>44196</v>
      </c>
    </row>
    <row r="3" spans="1:5" ht="12.75">
      <c r="A3" s="69"/>
      <c r="B3" s="32" t="s">
        <v>29</v>
      </c>
      <c r="C3" s="33" t="s">
        <v>30</v>
      </c>
      <c r="D3" s="37" t="s">
        <v>31</v>
      </c>
      <c r="E3" s="37" t="s">
        <v>32</v>
      </c>
    </row>
    <row r="4" spans="1:5" ht="12.75">
      <c r="A4" s="66" t="s">
        <v>6</v>
      </c>
      <c r="B4" s="32" t="s">
        <v>33</v>
      </c>
      <c r="C4" s="16"/>
      <c r="D4" s="52" t="s">
        <v>578</v>
      </c>
      <c r="E4" s="52" t="s">
        <v>578</v>
      </c>
    </row>
    <row r="5" spans="2:5" ht="12.75">
      <c r="B5" s="32" t="s">
        <v>35</v>
      </c>
      <c r="C5" s="38" t="s">
        <v>139</v>
      </c>
      <c r="D5" s="43"/>
      <c r="E5" s="43"/>
    </row>
    <row r="6" spans="1:14" ht="12.75">
      <c r="A6" s="67" t="s">
        <v>7</v>
      </c>
      <c r="B6" s="41" t="s">
        <v>34</v>
      </c>
      <c r="C6" s="38" t="s">
        <v>139</v>
      </c>
      <c r="D6" s="50" t="s">
        <v>138</v>
      </c>
      <c r="E6" s="50" t="s">
        <v>138</v>
      </c>
      <c r="F6" s="30" t="s">
        <v>189</v>
      </c>
      <c r="G6" s="30" t="s">
        <v>190</v>
      </c>
      <c r="H6" s="30" t="s">
        <v>191</v>
      </c>
      <c r="I6" s="30" t="s">
        <v>192</v>
      </c>
      <c r="J6" s="30" t="s">
        <v>230</v>
      </c>
      <c r="K6" s="30" t="s">
        <v>574</v>
      </c>
      <c r="L6" s="30" t="s">
        <v>575</v>
      </c>
      <c r="M6" s="30" t="s">
        <v>601</v>
      </c>
      <c r="N6" s="30"/>
    </row>
    <row r="7" spans="1:5" s="13" customFormat="1" ht="12.75">
      <c r="A7" s="65" t="s">
        <v>177</v>
      </c>
      <c r="B7" s="65"/>
      <c r="C7" s="65"/>
      <c r="D7" s="13" t="s">
        <v>3</v>
      </c>
      <c r="E7" s="13" t="s">
        <v>3</v>
      </c>
    </row>
    <row r="8" spans="1:13" ht="12.75">
      <c r="A8" s="66" t="s">
        <v>8</v>
      </c>
      <c r="B8" s="85" t="s">
        <v>11</v>
      </c>
      <c r="C8" s="66"/>
      <c r="D8" s="18" t="s">
        <v>116</v>
      </c>
      <c r="E8" s="18" t="s">
        <v>116</v>
      </c>
      <c r="F8" s="1">
        <v>1917</v>
      </c>
      <c r="G8" s="1">
        <v>2209</v>
      </c>
      <c r="H8" s="1">
        <v>2135</v>
      </c>
      <c r="I8" s="1">
        <v>2405</v>
      </c>
      <c r="J8" s="1">
        <v>2301.9885054</v>
      </c>
      <c r="K8" s="1">
        <v>2455</v>
      </c>
      <c r="L8" s="1">
        <v>2190</v>
      </c>
      <c r="M8" s="1">
        <v>2334</v>
      </c>
    </row>
    <row r="9" spans="1:13" ht="12.75">
      <c r="A9" s="66" t="s">
        <v>8</v>
      </c>
      <c r="B9" s="85" t="s">
        <v>11</v>
      </c>
      <c r="C9" s="66" t="s">
        <v>168</v>
      </c>
      <c r="D9" s="18" t="s">
        <v>172</v>
      </c>
      <c r="E9" s="18" t="s">
        <v>172</v>
      </c>
      <c r="F9" s="2">
        <v>0.7</v>
      </c>
      <c r="G9" s="2">
        <v>6.7</v>
      </c>
      <c r="H9" s="2">
        <v>1.9</v>
      </c>
      <c r="I9" s="2">
        <v>4.7</v>
      </c>
      <c r="J9" s="2">
        <v>11.8</v>
      </c>
      <c r="K9" s="2">
        <v>3.7</v>
      </c>
      <c r="L9" s="2">
        <v>-7.1</v>
      </c>
      <c r="M9" s="2">
        <v>-7.9</v>
      </c>
    </row>
    <row r="10" spans="1:13" ht="12.75">
      <c r="A10" s="66" t="s">
        <v>8</v>
      </c>
      <c r="B10" s="85" t="s">
        <v>11</v>
      </c>
      <c r="C10" s="66" t="s">
        <v>168</v>
      </c>
      <c r="D10" s="18" t="s">
        <v>559</v>
      </c>
      <c r="E10" s="18" t="s">
        <v>559</v>
      </c>
      <c r="F10" s="2">
        <v>7.8</v>
      </c>
      <c r="G10" s="2">
        <v>0</v>
      </c>
      <c r="H10" s="2">
        <v>4.8</v>
      </c>
      <c r="I10" s="2">
        <v>6.2</v>
      </c>
      <c r="J10" s="2">
        <v>3.8</v>
      </c>
      <c r="K10" s="2">
        <v>5</v>
      </c>
      <c r="L10" s="2">
        <v>5.2</v>
      </c>
      <c r="M10" s="2">
        <v>2.1</v>
      </c>
    </row>
    <row r="11" spans="1:13" ht="12.75">
      <c r="A11" s="66" t="s">
        <v>8</v>
      </c>
      <c r="B11" s="85" t="s">
        <v>11</v>
      </c>
      <c r="C11" s="66"/>
      <c r="D11" s="18" t="s">
        <v>118</v>
      </c>
      <c r="E11" s="18" t="s">
        <v>118</v>
      </c>
      <c r="F11" s="1">
        <v>237</v>
      </c>
      <c r="G11" s="1">
        <v>324</v>
      </c>
      <c r="H11" s="1">
        <v>280</v>
      </c>
      <c r="I11" s="1">
        <v>294</v>
      </c>
      <c r="J11" s="1">
        <v>300.90389930000094</v>
      </c>
      <c r="K11" s="1">
        <v>401</v>
      </c>
      <c r="L11" s="1">
        <v>125</v>
      </c>
      <c r="M11" s="1">
        <v>164</v>
      </c>
    </row>
    <row r="12" spans="1:13" ht="12.75">
      <c r="A12" s="66" t="s">
        <v>8</v>
      </c>
      <c r="B12" s="85" t="s">
        <v>11</v>
      </c>
      <c r="C12" s="66" t="s">
        <v>168</v>
      </c>
      <c r="D12" s="18" t="s">
        <v>169</v>
      </c>
      <c r="E12" s="18" t="s">
        <v>169</v>
      </c>
      <c r="F12" s="2">
        <v>12.4</v>
      </c>
      <c r="G12" s="2">
        <v>14.7</v>
      </c>
      <c r="H12" s="2">
        <v>13.1</v>
      </c>
      <c r="I12" s="2">
        <v>12.2</v>
      </c>
      <c r="J12" s="2">
        <v>13.071477055343221</v>
      </c>
      <c r="K12" s="2">
        <v>16.3</v>
      </c>
      <c r="L12" s="2">
        <f>+L11/L8*100</f>
        <v>5.707762557077626</v>
      </c>
      <c r="M12" s="2">
        <f>+M11/M8*100</f>
        <v>7.02656383890317</v>
      </c>
    </row>
    <row r="13" spans="1:13" ht="15">
      <c r="A13" s="66" t="s">
        <v>8</v>
      </c>
      <c r="B13" s="85" t="s">
        <v>11</v>
      </c>
      <c r="C13" s="66"/>
      <c r="D13" s="18" t="s">
        <v>222</v>
      </c>
      <c r="E13" s="18" t="s">
        <v>222</v>
      </c>
      <c r="F13" s="1">
        <v>237</v>
      </c>
      <c r="G13" s="1">
        <v>324</v>
      </c>
      <c r="H13" s="1">
        <v>280</v>
      </c>
      <c r="I13" s="1">
        <v>294</v>
      </c>
      <c r="J13" s="1">
        <v>300.90389930000094</v>
      </c>
      <c r="K13" s="1">
        <v>401</v>
      </c>
      <c r="L13" s="1">
        <v>247</v>
      </c>
      <c r="M13" s="1">
        <v>164</v>
      </c>
    </row>
    <row r="14" spans="1:13" ht="15">
      <c r="A14" s="66" t="s">
        <v>8</v>
      </c>
      <c r="B14" s="214" t="s">
        <v>237</v>
      </c>
      <c r="C14" s="66" t="s">
        <v>168</v>
      </c>
      <c r="D14" s="86" t="s">
        <v>223</v>
      </c>
      <c r="E14" s="86" t="s">
        <v>223</v>
      </c>
      <c r="F14" s="2">
        <v>12.4</v>
      </c>
      <c r="G14" s="2">
        <v>14.7</v>
      </c>
      <c r="H14" s="2">
        <v>13.1</v>
      </c>
      <c r="I14" s="2">
        <v>12.2</v>
      </c>
      <c r="J14" s="2">
        <v>13.071477055343221</v>
      </c>
      <c r="K14" s="2">
        <v>16.3</v>
      </c>
      <c r="L14" s="2">
        <f>+L13/L8*100</f>
        <v>11.278538812785389</v>
      </c>
      <c r="M14" s="2">
        <f>+M13/M8*100</f>
        <v>7.02656383890317</v>
      </c>
    </row>
    <row r="15" spans="1:5" ht="12.75">
      <c r="A15" s="66" t="s">
        <v>10</v>
      </c>
      <c r="B15" s="16"/>
      <c r="C15" s="16"/>
      <c r="D15" s="16"/>
      <c r="E15" s="16"/>
    </row>
    <row r="16" spans="1:13" s="16" customFormat="1" ht="184.5">
      <c r="A16" s="66" t="s">
        <v>615</v>
      </c>
      <c r="E16" s="61" t="s">
        <v>616</v>
      </c>
      <c r="F16" s="55"/>
      <c r="G16" s="55"/>
      <c r="H16" s="55"/>
      <c r="I16" s="55"/>
      <c r="J16" s="55"/>
      <c r="K16" s="55"/>
      <c r="L16" s="55"/>
      <c r="M16" s="55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8" r:id="rId1"/>
  <headerFooter alignWithMargins="0">
    <oddHeader>&amp;L&amp;D/&amp;F</oddHeader>
    <oddFooter>&amp;L&amp;"Calibri"&amp;11&amp;K000000&amp;"Calibri"&amp;11&amp;K000000
&amp;1#&amp;"Calibri"&amp;8&amp;K000000 Classified as Internal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G26"/>
  <sheetViews>
    <sheetView zoomScale="85" zoomScaleNormal="85" zoomScaleSheetLayoutView="100" zoomScalePageLayoutView="0" workbookViewId="0" topLeftCell="A1">
      <selection activeCell="O53" sqref="O53"/>
    </sheetView>
  </sheetViews>
  <sheetFormatPr defaultColWidth="9.28125" defaultRowHeight="12.75"/>
  <cols>
    <col min="1" max="1" width="11.28125" style="66" bestFit="1" customWidth="1"/>
    <col min="2" max="2" width="12.28125" style="16" bestFit="1" customWidth="1"/>
    <col min="3" max="3" width="11.28125" style="16" bestFit="1" customWidth="1"/>
    <col min="4" max="4" width="12.140625" style="16" hidden="1" customWidth="1"/>
    <col min="5" max="5" width="42.7109375" style="16" customWidth="1"/>
    <col min="6" max="14" width="10.8515625" style="16" hidden="1" customWidth="1"/>
    <col min="15" max="21" width="10.8515625" style="16" customWidth="1"/>
    <col min="22" max="16384" width="9.28125" style="16" customWidth="1"/>
  </cols>
  <sheetData>
    <row r="1" spans="1:5" ht="17.25">
      <c r="A1" s="68">
        <v>44377</v>
      </c>
      <c r="B1" s="32" t="s">
        <v>26</v>
      </c>
      <c r="C1" s="33"/>
      <c r="D1" s="34" t="str">
        <f>Company</f>
        <v>AB Electrolux</v>
      </c>
      <c r="E1" s="34" t="str">
        <f>Company</f>
        <v>AB Electrolux</v>
      </c>
    </row>
    <row r="2" spans="1:5" ht="12.75">
      <c r="A2" s="69"/>
      <c r="B2" s="32" t="s">
        <v>28</v>
      </c>
      <c r="C2" s="33"/>
      <c r="D2" s="35">
        <f>A1</f>
        <v>44377</v>
      </c>
      <c r="E2" s="36">
        <f>+A1</f>
        <v>44377</v>
      </c>
    </row>
    <row r="3" spans="1:5" ht="12.75">
      <c r="A3" s="69"/>
      <c r="B3" s="32" t="s">
        <v>29</v>
      </c>
      <c r="C3" s="33" t="s">
        <v>30</v>
      </c>
      <c r="D3" s="37" t="s">
        <v>31</v>
      </c>
      <c r="E3" s="37" t="s">
        <v>32</v>
      </c>
    </row>
    <row r="4" spans="1:5" ht="12.75">
      <c r="A4" s="66" t="s">
        <v>6</v>
      </c>
      <c r="B4" s="32" t="s">
        <v>33</v>
      </c>
      <c r="D4" s="24" t="s">
        <v>22</v>
      </c>
      <c r="E4" s="24" t="s">
        <v>22</v>
      </c>
    </row>
    <row r="5" spans="2:5" ht="12.75">
      <c r="B5" s="32" t="s">
        <v>35</v>
      </c>
      <c r="C5" s="33" t="s">
        <v>139</v>
      </c>
      <c r="D5" s="14"/>
      <c r="E5" s="14"/>
    </row>
    <row r="6" spans="1:33" s="44" customFormat="1" ht="12.75">
      <c r="A6" s="71" t="s">
        <v>7</v>
      </c>
      <c r="B6" s="41" t="s">
        <v>34</v>
      </c>
      <c r="C6" s="38" t="s">
        <v>139</v>
      </c>
      <c r="D6" s="53" t="s">
        <v>224</v>
      </c>
      <c r="E6" s="53" t="s">
        <v>224</v>
      </c>
      <c r="F6" s="30" t="s">
        <v>185</v>
      </c>
      <c r="G6" s="30" t="s">
        <v>186</v>
      </c>
      <c r="H6" s="30" t="s">
        <v>187</v>
      </c>
      <c r="I6" s="30" t="s">
        <v>188</v>
      </c>
      <c r="J6" s="30" t="s">
        <v>189</v>
      </c>
      <c r="K6" s="30" t="s">
        <v>190</v>
      </c>
      <c r="L6" s="30" t="s">
        <v>191</v>
      </c>
      <c r="M6" s="30" t="s">
        <v>192</v>
      </c>
      <c r="N6" s="30" t="s">
        <v>230</v>
      </c>
      <c r="O6" s="30" t="s">
        <v>574</v>
      </c>
      <c r="P6" s="30" t="s">
        <v>575</v>
      </c>
      <c r="Q6" s="30" t="s">
        <v>601</v>
      </c>
      <c r="R6" s="30" t="s">
        <v>617</v>
      </c>
      <c r="S6" s="30" t="s">
        <v>618</v>
      </c>
      <c r="T6" s="30" t="s">
        <v>620</v>
      </c>
      <c r="U6" s="30" t="s">
        <v>621</v>
      </c>
      <c r="V6" s="30" t="s">
        <v>625</v>
      </c>
      <c r="W6" s="30" t="s">
        <v>634</v>
      </c>
      <c r="X6" s="30" t="s">
        <v>635</v>
      </c>
      <c r="Y6" s="44" t="s">
        <v>636</v>
      </c>
      <c r="Z6" s="44" t="s">
        <v>638</v>
      </c>
      <c r="AA6" s="44" t="s">
        <v>639</v>
      </c>
      <c r="AB6" s="44" t="s">
        <v>644</v>
      </c>
      <c r="AC6" s="44" t="s">
        <v>645</v>
      </c>
      <c r="AD6" s="44" t="s">
        <v>653</v>
      </c>
      <c r="AE6" s="44" t="s">
        <v>654</v>
      </c>
      <c r="AF6" s="44" t="s">
        <v>655</v>
      </c>
      <c r="AG6" s="44" t="s">
        <v>656</v>
      </c>
    </row>
    <row r="7" spans="1:21" s="13" customFormat="1" ht="12.75">
      <c r="A7" s="65" t="s">
        <v>177</v>
      </c>
      <c r="B7" s="80"/>
      <c r="C7" s="81"/>
      <c r="D7" s="82" t="s">
        <v>203</v>
      </c>
      <c r="E7" s="82" t="s">
        <v>203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</row>
    <row r="8" spans="1:33" s="13" customFormat="1" ht="12.75">
      <c r="A8" s="66" t="s">
        <v>8</v>
      </c>
      <c r="B8" s="215" t="s">
        <v>11</v>
      </c>
      <c r="C8" s="66" t="s">
        <v>168</v>
      </c>
      <c r="D8" s="86" t="s">
        <v>25</v>
      </c>
      <c r="E8" s="86" t="s">
        <v>25</v>
      </c>
      <c r="F8" s="114">
        <v>-3.2</v>
      </c>
      <c r="G8" s="114">
        <v>1.2</v>
      </c>
      <c r="H8" s="114">
        <v>-1.7</v>
      </c>
      <c r="I8" s="114">
        <v>5.4</v>
      </c>
      <c r="J8" s="114">
        <v>3</v>
      </c>
      <c r="K8" s="114">
        <v>0.3</v>
      </c>
      <c r="L8" s="114">
        <v>0.3</v>
      </c>
      <c r="M8" s="114">
        <v>1.9</v>
      </c>
      <c r="N8" s="114">
        <v>0.6</v>
      </c>
      <c r="O8" s="114">
        <v>-3.6</v>
      </c>
      <c r="P8" s="114">
        <v>1.2</v>
      </c>
      <c r="Q8" s="114">
        <v>-2.8</v>
      </c>
      <c r="R8" s="114">
        <v>-5.1</v>
      </c>
      <c r="S8" s="114">
        <v>-16.6</v>
      </c>
      <c r="T8" s="114">
        <v>15.2</v>
      </c>
      <c r="U8" s="114">
        <v>17.68072</v>
      </c>
      <c r="V8" s="114">
        <v>23.01391</v>
      </c>
      <c r="W8" s="116">
        <v>39.327184</v>
      </c>
      <c r="X8" s="116">
        <v>-0.020921261</v>
      </c>
      <c r="Y8" s="116">
        <v>4.8865396</v>
      </c>
      <c r="Z8" s="116">
        <v>-3.298413</v>
      </c>
      <c r="AA8" s="116">
        <v>0.371473172448078</v>
      </c>
      <c r="AB8" s="116">
        <v>0.427</v>
      </c>
      <c r="AC8" s="116">
        <v>-10.440233768882967</v>
      </c>
      <c r="AD8" s="116">
        <v>1.1</v>
      </c>
      <c r="AE8" s="116">
        <v>-8.79</v>
      </c>
      <c r="AF8" s="116">
        <v>-7.92</v>
      </c>
      <c r="AG8" s="116">
        <v>-0.8477</v>
      </c>
    </row>
    <row r="9" spans="1:33" s="13" customFormat="1" ht="12.75">
      <c r="A9" s="66" t="s">
        <v>8</v>
      </c>
      <c r="B9" s="215" t="s">
        <v>11</v>
      </c>
      <c r="C9" s="66" t="s">
        <v>168</v>
      </c>
      <c r="D9" s="86" t="s">
        <v>172</v>
      </c>
      <c r="E9" s="86" t="s">
        <v>172</v>
      </c>
      <c r="F9" s="114">
        <v>-2.8</v>
      </c>
      <c r="G9" s="114">
        <v>0</v>
      </c>
      <c r="H9" s="114">
        <v>-3.2</v>
      </c>
      <c r="I9" s="114">
        <v>4</v>
      </c>
      <c r="J9" s="114">
        <v>1.9</v>
      </c>
      <c r="K9" s="114">
        <v>-0.1</v>
      </c>
      <c r="L9" s="114">
        <v>0.8</v>
      </c>
      <c r="M9" s="114">
        <v>2.6</v>
      </c>
      <c r="N9" s="114">
        <v>1.2</v>
      </c>
      <c r="O9" s="114">
        <v>-3.1</v>
      </c>
      <c r="P9" s="114">
        <v>1.4</v>
      </c>
      <c r="Q9" s="114">
        <v>-2.8</v>
      </c>
      <c r="R9" s="114">
        <v>-5.1</v>
      </c>
      <c r="S9" s="114">
        <v>-16.6</v>
      </c>
      <c r="T9" s="114">
        <v>15.3</v>
      </c>
      <c r="U9" s="114">
        <v>17.45115</v>
      </c>
      <c r="V9" s="114">
        <v>22.8472</v>
      </c>
      <c r="W9" s="116">
        <v>39.105378</v>
      </c>
      <c r="X9" s="116">
        <v>-0.25290551</v>
      </c>
      <c r="Y9" s="116">
        <v>4.8130869</v>
      </c>
      <c r="Z9" s="116">
        <v>-3.397613</v>
      </c>
      <c r="AA9" s="116">
        <v>0.2710980882376868</v>
      </c>
      <c r="AB9" s="116">
        <v>1.204</v>
      </c>
      <c r="AC9" s="116">
        <v>-8.393369828617548</v>
      </c>
      <c r="AD9" s="116">
        <v>2.2</v>
      </c>
      <c r="AE9" s="116">
        <v>-8.35551586687605</v>
      </c>
      <c r="AF9" s="116">
        <v>-7.92</v>
      </c>
      <c r="AG9" s="116">
        <v>-0.8477</v>
      </c>
    </row>
    <row r="10" spans="1:33" s="13" customFormat="1" ht="12.75">
      <c r="A10" s="66" t="s">
        <v>8</v>
      </c>
      <c r="B10" s="215" t="s">
        <v>11</v>
      </c>
      <c r="C10" s="66" t="s">
        <v>168</v>
      </c>
      <c r="D10" s="86" t="s">
        <v>169</v>
      </c>
      <c r="E10" s="86" t="s">
        <v>169</v>
      </c>
      <c r="F10" s="114">
        <v>5.1</v>
      </c>
      <c r="G10" s="114">
        <v>6.2</v>
      </c>
      <c r="H10" s="114">
        <v>6.8</v>
      </c>
      <c r="I10" s="114">
        <v>6.3</v>
      </c>
      <c r="J10" s="114">
        <v>2</v>
      </c>
      <c r="K10" s="114">
        <v>1.7</v>
      </c>
      <c r="L10" s="114">
        <v>5.2</v>
      </c>
      <c r="M10" s="114">
        <v>5.2</v>
      </c>
      <c r="N10" s="114">
        <v>-0.2</v>
      </c>
      <c r="O10" s="114">
        <v>4.2</v>
      </c>
      <c r="P10" s="114">
        <v>3.5</v>
      </c>
      <c r="Q10" s="114">
        <v>3</v>
      </c>
      <c r="R10" s="114">
        <v>0.5</v>
      </c>
      <c r="S10" s="114">
        <v>-0.3</v>
      </c>
      <c r="T10" s="114">
        <v>10.1</v>
      </c>
      <c r="U10" s="114">
        <v>7.4</v>
      </c>
      <c r="V10" s="114">
        <v>7.914281754707214</v>
      </c>
      <c r="W10" s="116">
        <v>6.545175781908356</v>
      </c>
      <c r="X10" s="116">
        <v>5.298100106546724</v>
      </c>
      <c r="Y10" s="116">
        <v>2.4922394313251526</v>
      </c>
      <c r="Z10" s="116">
        <v>5.228454673150632</v>
      </c>
      <c r="AA10" s="116">
        <v>1.658537147128681</v>
      </c>
      <c r="AB10" s="116">
        <v>-1.0923010496743326</v>
      </c>
      <c r="AC10" s="116">
        <v>-5.491859469908803</v>
      </c>
      <c r="AD10" s="116">
        <v>-0.7834713903845433</v>
      </c>
      <c r="AE10" s="116">
        <v>-0.379396075191055</v>
      </c>
      <c r="AF10" s="116">
        <v>1.8175782337167323</v>
      </c>
      <c r="AG10" s="116">
        <v>-9.021090000361212</v>
      </c>
    </row>
    <row r="11" spans="1:33" s="13" customFormat="1" ht="15">
      <c r="A11" s="66" t="s">
        <v>8</v>
      </c>
      <c r="B11" s="216" t="s">
        <v>237</v>
      </c>
      <c r="C11" s="66" t="s">
        <v>168</v>
      </c>
      <c r="D11" s="86" t="s">
        <v>223</v>
      </c>
      <c r="E11" s="86" t="s">
        <v>223</v>
      </c>
      <c r="F11" s="114">
        <v>5.1</v>
      </c>
      <c r="G11" s="114">
        <v>6.2</v>
      </c>
      <c r="H11" s="114">
        <v>6.8</v>
      </c>
      <c r="I11" s="114">
        <v>6.3</v>
      </c>
      <c r="J11" s="114">
        <v>4.3</v>
      </c>
      <c r="K11" s="114">
        <v>4.5</v>
      </c>
      <c r="L11" s="114">
        <v>5.2</v>
      </c>
      <c r="M11" s="114">
        <v>5</v>
      </c>
      <c r="N11" s="114">
        <v>3.7</v>
      </c>
      <c r="O11" s="114">
        <v>4.2</v>
      </c>
      <c r="P11" s="114">
        <v>4.5</v>
      </c>
      <c r="Q11" s="114">
        <v>3</v>
      </c>
      <c r="R11" s="114">
        <v>0.5</v>
      </c>
      <c r="S11" s="114">
        <v>-0.3</v>
      </c>
      <c r="T11" s="114">
        <v>10.1</v>
      </c>
      <c r="U11" s="114">
        <v>7.4</v>
      </c>
      <c r="V11" s="114">
        <v>7.914281754707204</v>
      </c>
      <c r="W11" s="116">
        <v>6.545175781908422</v>
      </c>
      <c r="X11" s="116">
        <v>5.298100106546686</v>
      </c>
      <c r="Y11" s="116">
        <v>4.547519967001909</v>
      </c>
      <c r="Z11" s="116">
        <v>3.050249454111754</v>
      </c>
      <c r="AA11" s="116">
        <v>1.6585371471286712</v>
      </c>
      <c r="AB11" s="116">
        <v>-0.0992233741128867</v>
      </c>
      <c r="AC11" s="116">
        <v>-1.7120494507000366</v>
      </c>
      <c r="AD11" s="116">
        <v>0.9303176218493463</v>
      </c>
      <c r="AE11" s="116">
        <v>1.5897750974772953</v>
      </c>
      <c r="AF11" s="116">
        <v>0.9380495699209055</v>
      </c>
      <c r="AG11" s="116">
        <v>-2.030371284034523</v>
      </c>
    </row>
    <row r="12" spans="1:33" s="13" customFormat="1" ht="15">
      <c r="A12" s="66" t="s">
        <v>8</v>
      </c>
      <c r="B12" s="215" t="s">
        <v>11</v>
      </c>
      <c r="C12" s="66" t="s">
        <v>180</v>
      </c>
      <c r="D12" s="18" t="s">
        <v>590</v>
      </c>
      <c r="E12" s="18" t="s">
        <v>590</v>
      </c>
      <c r="F12" s="113">
        <v>0.32</v>
      </c>
      <c r="G12" s="113">
        <v>0.16</v>
      </c>
      <c r="H12" s="113">
        <v>0.05</v>
      </c>
      <c r="I12" s="113">
        <v>0.01</v>
      </c>
      <c r="J12" s="113">
        <v>0.16</v>
      </c>
      <c r="K12" s="113">
        <v>0.14</v>
      </c>
      <c r="L12" s="113">
        <v>0.08</v>
      </c>
      <c r="M12" s="113">
        <v>0.08</v>
      </c>
      <c r="N12" s="113">
        <v>0.37</v>
      </c>
      <c r="O12" s="113">
        <v>0.52</v>
      </c>
      <c r="P12" s="113">
        <v>0.48</v>
      </c>
      <c r="Q12" s="113">
        <v>0.34</v>
      </c>
      <c r="R12" s="113">
        <v>0.6</v>
      </c>
      <c r="S12" s="113">
        <v>0.62</v>
      </c>
      <c r="T12" s="113">
        <v>0.21</v>
      </c>
      <c r="U12" s="113">
        <v>0.08</v>
      </c>
      <c r="V12" s="113">
        <v>0.04294708390093996</v>
      </c>
      <c r="W12" s="223">
        <v>0.044565111131939485</v>
      </c>
      <c r="X12" s="223">
        <v>0.10818965459464633</v>
      </c>
      <c r="Y12" s="223">
        <v>0.4616159006387875</v>
      </c>
      <c r="Z12" s="223">
        <v>0.851845173220303</v>
      </c>
      <c r="AA12" s="223">
        <v>0.7722093350407383</v>
      </c>
      <c r="AB12" s="223">
        <v>1.044894526077706</v>
      </c>
      <c r="AC12" s="223">
        <v>1.4497891885539138</v>
      </c>
      <c r="AD12" s="223">
        <v>1.8870753343601732</v>
      </c>
      <c r="AE12" s="223">
        <v>1.7387594586414958</v>
      </c>
      <c r="AF12" s="223">
        <v>1.7602436156899424</v>
      </c>
      <c r="AG12" s="223">
        <v>2.3262683160776363</v>
      </c>
    </row>
    <row r="13" spans="1:33" s="13" customFormat="1" ht="15">
      <c r="A13" s="66" t="s">
        <v>8</v>
      </c>
      <c r="B13" s="215" t="s">
        <v>11</v>
      </c>
      <c r="C13" s="66" t="s">
        <v>168</v>
      </c>
      <c r="D13" s="18" t="s">
        <v>579</v>
      </c>
      <c r="E13" s="18" t="s">
        <v>579</v>
      </c>
      <c r="F13" s="116">
        <v>20.3</v>
      </c>
      <c r="G13" s="116">
        <v>18.3</v>
      </c>
      <c r="H13" s="116">
        <v>17.7</v>
      </c>
      <c r="I13" s="116">
        <v>17.5</v>
      </c>
      <c r="J13" s="116">
        <v>18.85414260834022</v>
      </c>
      <c r="K13" s="116">
        <v>17.553128664964138</v>
      </c>
      <c r="L13" s="116">
        <v>17.74</v>
      </c>
      <c r="M13" s="116">
        <v>17.54</v>
      </c>
      <c r="N13" s="116">
        <v>23.25</v>
      </c>
      <c r="O13" s="116">
        <v>24.86</v>
      </c>
      <c r="P13" s="116">
        <v>23.53</v>
      </c>
      <c r="Q13" s="116">
        <v>22.27</v>
      </c>
      <c r="R13" s="116">
        <v>27.6</v>
      </c>
      <c r="S13" s="116">
        <v>28.9</v>
      </c>
      <c r="T13" s="116">
        <v>22.7</v>
      </c>
      <c r="U13" s="116">
        <v>18.9</v>
      </c>
      <c r="V13" s="116">
        <v>19.3</v>
      </c>
      <c r="W13" s="116">
        <v>19.6</v>
      </c>
      <c r="X13" s="116">
        <v>20.8</v>
      </c>
      <c r="Y13" s="116">
        <v>21.1</v>
      </c>
      <c r="Z13" s="116">
        <v>29.4</v>
      </c>
      <c r="AA13" s="116">
        <v>28.3</v>
      </c>
      <c r="AB13" s="116">
        <v>30.1</v>
      </c>
      <c r="AC13" s="116">
        <v>29.2</v>
      </c>
      <c r="AD13" s="116">
        <v>35.2</v>
      </c>
      <c r="AE13" s="116">
        <v>34.7</v>
      </c>
      <c r="AF13" s="116">
        <v>34.7</v>
      </c>
      <c r="AG13" s="116">
        <v>29.4</v>
      </c>
    </row>
    <row r="14" spans="1:33" s="13" customFormat="1" ht="15">
      <c r="A14" s="66" t="s">
        <v>8</v>
      </c>
      <c r="B14" s="215" t="s">
        <v>11</v>
      </c>
      <c r="C14" s="66" t="s">
        <v>168</v>
      </c>
      <c r="D14" s="18" t="s">
        <v>580</v>
      </c>
      <c r="E14" s="18" t="s">
        <v>580</v>
      </c>
      <c r="F14" s="116">
        <v>14.2</v>
      </c>
      <c r="G14" s="116">
        <v>13.3</v>
      </c>
      <c r="H14" s="116">
        <v>14.4</v>
      </c>
      <c r="I14" s="116">
        <v>12.4</v>
      </c>
      <c r="J14" s="116">
        <v>13.038976829037324</v>
      </c>
      <c r="K14" s="116">
        <v>13.585621781541219</v>
      </c>
      <c r="L14" s="116">
        <v>14.64</v>
      </c>
      <c r="M14" s="116">
        <v>13.35</v>
      </c>
      <c r="N14" s="116">
        <v>14.82</v>
      </c>
      <c r="O14" s="116">
        <v>14.94</v>
      </c>
      <c r="P14" s="116">
        <v>15.21</v>
      </c>
      <c r="Q14" s="116">
        <v>13.77</v>
      </c>
      <c r="R14" s="116">
        <v>15.77</v>
      </c>
      <c r="S14" s="116">
        <v>14.8</v>
      </c>
      <c r="T14" s="116">
        <v>13.3</v>
      </c>
      <c r="U14" s="116">
        <v>12.3</v>
      </c>
      <c r="V14" s="116">
        <v>14.5</v>
      </c>
      <c r="W14" s="116">
        <v>16</v>
      </c>
      <c r="X14" s="116">
        <v>17.5</v>
      </c>
      <c r="Y14" s="116">
        <v>15.9</v>
      </c>
      <c r="Z14" s="116">
        <v>21.7</v>
      </c>
      <c r="AA14" s="116">
        <v>22.2</v>
      </c>
      <c r="AB14" s="116">
        <v>22.2</v>
      </c>
      <c r="AC14" s="116">
        <v>17.7</v>
      </c>
      <c r="AD14" s="116">
        <v>18.7</v>
      </c>
      <c r="AE14" s="116">
        <v>18.5</v>
      </c>
      <c r="AF14" s="116">
        <v>18.2</v>
      </c>
      <c r="AG14" s="116">
        <v>15.6</v>
      </c>
    </row>
    <row r="15" spans="1:33" s="13" customFormat="1" ht="15">
      <c r="A15" s="66" t="s">
        <v>8</v>
      </c>
      <c r="B15" s="215" t="s">
        <v>11</v>
      </c>
      <c r="C15" s="66" t="s">
        <v>168</v>
      </c>
      <c r="D15" s="18" t="s">
        <v>581</v>
      </c>
      <c r="E15" s="18" t="s">
        <v>581</v>
      </c>
      <c r="F15" s="116">
        <v>16.6</v>
      </c>
      <c r="G15" s="116">
        <v>16.1</v>
      </c>
      <c r="H15" s="116">
        <v>16.6</v>
      </c>
      <c r="I15" s="116">
        <v>17.5</v>
      </c>
      <c r="J15" s="116">
        <v>15.431645095636219</v>
      </c>
      <c r="K15" s="116">
        <v>15.276973586724734</v>
      </c>
      <c r="L15" s="116">
        <v>15.44</v>
      </c>
      <c r="M15" s="116">
        <v>17.12</v>
      </c>
      <c r="N15" s="116">
        <v>16.55</v>
      </c>
      <c r="O15" s="116">
        <v>17.09</v>
      </c>
      <c r="P15" s="116">
        <v>15.81</v>
      </c>
      <c r="Q15" s="116">
        <v>17.73</v>
      </c>
      <c r="R15" s="116">
        <v>17.07</v>
      </c>
      <c r="S15" s="116">
        <v>16.4</v>
      </c>
      <c r="T15" s="116">
        <v>18.2</v>
      </c>
      <c r="U15" s="116">
        <v>18.6</v>
      </c>
      <c r="V15" s="116">
        <v>17.8</v>
      </c>
      <c r="W15" s="116">
        <v>17.1</v>
      </c>
      <c r="X15" s="116">
        <v>17.4</v>
      </c>
      <c r="Y15" s="116">
        <v>17.9</v>
      </c>
      <c r="Z15" s="116">
        <v>17.9</v>
      </c>
      <c r="AA15" s="116">
        <v>16.7</v>
      </c>
      <c r="AB15" s="116">
        <v>16.1</v>
      </c>
      <c r="AC15" s="116">
        <v>15.6</v>
      </c>
      <c r="AD15" s="116">
        <v>17.2</v>
      </c>
      <c r="AE15" s="116">
        <v>16.9</v>
      </c>
      <c r="AF15" s="116">
        <v>17.1</v>
      </c>
      <c r="AG15" s="116">
        <v>17.4</v>
      </c>
    </row>
    <row r="16" spans="1:33" s="13" customFormat="1" ht="15">
      <c r="A16" s="66" t="s">
        <v>8</v>
      </c>
      <c r="B16" s="215" t="s">
        <v>11</v>
      </c>
      <c r="C16" s="66"/>
      <c r="D16" s="18" t="s">
        <v>582</v>
      </c>
      <c r="E16" s="18" t="s">
        <v>582</v>
      </c>
      <c r="F16" s="116">
        <v>5.5</v>
      </c>
      <c r="G16" s="116">
        <v>5.7</v>
      </c>
      <c r="H16" s="116">
        <v>5.7</v>
      </c>
      <c r="I16" s="116">
        <v>5.9</v>
      </c>
      <c r="J16" s="116">
        <v>5</v>
      </c>
      <c r="K16" s="116">
        <v>5.3</v>
      </c>
      <c r="L16" s="116">
        <v>5.3</v>
      </c>
      <c r="M16" s="116">
        <v>5.6</v>
      </c>
      <c r="N16" s="116">
        <v>4.6</v>
      </c>
      <c r="O16" s="116">
        <v>4.4</v>
      </c>
      <c r="P16" s="116">
        <v>4.4</v>
      </c>
      <c r="Q16" s="116">
        <v>4.5</v>
      </c>
      <c r="R16" s="116">
        <v>3.8</v>
      </c>
      <c r="S16" s="116">
        <v>3.6</v>
      </c>
      <c r="T16" s="116">
        <v>4.1</v>
      </c>
      <c r="U16" s="116">
        <v>4.5</v>
      </c>
      <c r="V16" s="116">
        <v>5.384423995937888</v>
      </c>
      <c r="W16" s="116">
        <v>5.339488522537794</v>
      </c>
      <c r="X16" s="116">
        <v>5.226558325967517</v>
      </c>
      <c r="Y16" s="116">
        <v>5.26527465210322</v>
      </c>
      <c r="Z16" s="116">
        <v>3.8325129972465044</v>
      </c>
      <c r="AA16" s="116">
        <v>3.8072870847722426</v>
      </c>
      <c r="AB16" s="116">
        <v>3.6932102340754143</v>
      </c>
      <c r="AC16" s="116">
        <v>3.6768334820178445</v>
      </c>
      <c r="AD16" s="116">
        <v>3.0327073749666336</v>
      </c>
      <c r="AE16" s="116">
        <v>2.940548585017846</v>
      </c>
      <c r="AF16" s="116">
        <v>2.9352039560213643</v>
      </c>
      <c r="AG16" s="116">
        <v>3.097891744499425</v>
      </c>
    </row>
    <row r="17" spans="1:33" s="13" customFormat="1" ht="15">
      <c r="A17" s="66" t="s">
        <v>8</v>
      </c>
      <c r="B17" s="215" t="s">
        <v>11</v>
      </c>
      <c r="C17" s="66" t="s">
        <v>168</v>
      </c>
      <c r="D17" s="18" t="s">
        <v>583</v>
      </c>
      <c r="E17" s="18" t="s">
        <v>583</v>
      </c>
      <c r="F17" s="116">
        <v>28.1</v>
      </c>
      <c r="G17" s="116">
        <v>32.5</v>
      </c>
      <c r="H17" s="116">
        <v>34.7</v>
      </c>
      <c r="I17" s="116">
        <v>36</v>
      </c>
      <c r="J17" s="116">
        <v>10.2</v>
      </c>
      <c r="K17" s="116">
        <v>9.9</v>
      </c>
      <c r="L17" s="116">
        <v>16</v>
      </c>
      <c r="M17" s="116">
        <v>20.2</v>
      </c>
      <c r="N17" s="116">
        <v>-0.9</v>
      </c>
      <c r="O17" s="116">
        <v>9</v>
      </c>
      <c r="P17" s="116">
        <v>11.2</v>
      </c>
      <c r="Q17" s="116">
        <v>12</v>
      </c>
      <c r="R17" s="116">
        <v>1.8</v>
      </c>
      <c r="S17" s="116">
        <v>0.4</v>
      </c>
      <c r="T17" s="116">
        <v>16.3</v>
      </c>
      <c r="U17" s="116">
        <v>22.6</v>
      </c>
      <c r="V17" s="116">
        <v>42.613848629615134</v>
      </c>
      <c r="W17" s="116">
        <v>38.52437005841813</v>
      </c>
      <c r="X17" s="116">
        <v>34.27639132146728</v>
      </c>
      <c r="Y17" s="116">
        <v>28.502716323651146</v>
      </c>
      <c r="Z17" s="116">
        <v>20.03812050436149</v>
      </c>
      <c r="AA17" s="116">
        <v>12.724093984618717</v>
      </c>
      <c r="AB17" s="116">
        <v>6.51917909241258</v>
      </c>
      <c r="AC17" s="116">
        <v>-0.5858145640107364</v>
      </c>
      <c r="AD17" s="116">
        <v>-2.376039462768326</v>
      </c>
      <c r="AE17" s="116">
        <v>-1.7104714773742522</v>
      </c>
      <c r="AF17" s="116">
        <v>0.6749095744573758</v>
      </c>
      <c r="AG17" s="116">
        <v>-6.883650870936527</v>
      </c>
    </row>
    <row r="18" spans="1:33" ht="15">
      <c r="A18" s="66" t="s">
        <v>8</v>
      </c>
      <c r="B18" s="215" t="s">
        <v>11</v>
      </c>
      <c r="C18" s="66" t="s">
        <v>168</v>
      </c>
      <c r="D18" s="18" t="s">
        <v>589</v>
      </c>
      <c r="E18" s="18" t="s">
        <v>589</v>
      </c>
      <c r="F18" s="116">
        <v>23.6</v>
      </c>
      <c r="G18" s="116">
        <v>26.9</v>
      </c>
      <c r="H18" s="116">
        <v>28.7</v>
      </c>
      <c r="I18" s="116">
        <v>31.9</v>
      </c>
      <c r="J18" s="116">
        <v>10.4</v>
      </c>
      <c r="K18" s="116">
        <v>10.3</v>
      </c>
      <c r="L18" s="116">
        <v>14.3</v>
      </c>
      <c r="M18" s="116">
        <v>18.2</v>
      </c>
      <c r="N18" s="116">
        <v>1.4</v>
      </c>
      <c r="O18" s="116">
        <v>11.1</v>
      </c>
      <c r="P18" s="116">
        <v>12</v>
      </c>
      <c r="Q18" s="116">
        <v>11.4</v>
      </c>
      <c r="R18" s="116">
        <v>48.9</v>
      </c>
      <c r="S18" s="116">
        <v>24.5</v>
      </c>
      <c r="T18" s="116">
        <v>32.3</v>
      </c>
      <c r="U18" s="116">
        <v>34.1</v>
      </c>
      <c r="V18" s="116">
        <v>32.4033387675492</v>
      </c>
      <c r="W18" s="116">
        <v>29.45680469083132</v>
      </c>
      <c r="X18" s="116">
        <v>28.137413400108485</v>
      </c>
      <c r="Y18" s="116">
        <v>24.369384810327098</v>
      </c>
      <c r="Z18" s="116">
        <v>20.82531803454059</v>
      </c>
      <c r="AA18" s="116">
        <v>12.7</v>
      </c>
      <c r="AB18" s="116">
        <v>4.2</v>
      </c>
      <c r="AC18" s="116">
        <v>-7</v>
      </c>
      <c r="AD18" s="116">
        <v>-14.529729839321837</v>
      </c>
      <c r="AE18" s="116">
        <v>-14.96603847378933</v>
      </c>
      <c r="AF18" s="116">
        <v>-9</v>
      </c>
      <c r="AG18" s="116">
        <v>-33.7</v>
      </c>
    </row>
    <row r="19" spans="1:5" ht="12.75">
      <c r="A19" s="66" t="s">
        <v>10</v>
      </c>
      <c r="B19" s="66"/>
      <c r="C19" s="66"/>
      <c r="E19" s="31"/>
    </row>
    <row r="20" spans="1:5" ht="26.25">
      <c r="A20" s="66" t="s">
        <v>16</v>
      </c>
      <c r="B20" s="66"/>
      <c r="C20" s="66"/>
      <c r="D20" s="18" t="s">
        <v>209</v>
      </c>
      <c r="E20" s="220" t="s">
        <v>209</v>
      </c>
    </row>
    <row r="21" spans="1:5" ht="24" customHeight="1">
      <c r="A21" s="66" t="s">
        <v>16</v>
      </c>
      <c r="B21" s="66"/>
      <c r="C21" s="66"/>
      <c r="D21" s="16" t="s">
        <v>588</v>
      </c>
      <c r="E21" s="31" t="s">
        <v>640</v>
      </c>
    </row>
    <row r="22" spans="1:5" ht="12.75">
      <c r="A22" s="66" t="s">
        <v>16</v>
      </c>
      <c r="D22" s="16" t="s">
        <v>208</v>
      </c>
      <c r="E22" s="31" t="s">
        <v>208</v>
      </c>
    </row>
    <row r="23" spans="1:5" ht="12.75">
      <c r="A23" s="66" t="s">
        <v>16</v>
      </c>
      <c r="B23" s="66"/>
      <c r="C23" s="66"/>
      <c r="D23" s="16" t="s">
        <v>584</v>
      </c>
      <c r="E23" s="31" t="s">
        <v>584</v>
      </c>
    </row>
    <row r="24" spans="1:5" ht="12.75">
      <c r="A24" s="66" t="s">
        <v>10</v>
      </c>
      <c r="E24" s="31"/>
    </row>
    <row r="25" spans="1:21" ht="132">
      <c r="A25" s="66" t="s">
        <v>16</v>
      </c>
      <c r="E25" s="61" t="s">
        <v>616</v>
      </c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</row>
    <row r="26" spans="5:21" ht="12.75">
      <c r="E26" s="61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</row>
    <row r="27" ht="12.75"/>
    <row r="28" ht="12.75"/>
    <row r="29" ht="12.75"/>
    <row r="30" ht="12.75"/>
    <row r="31" ht="12.75"/>
    <row r="32" ht="12.75"/>
    <row r="33" ht="12.75"/>
    <row r="34" ht="12.75"/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&amp;L&amp;D/&amp;F</oddHeader>
    <oddFooter>&amp;L&amp;"Calibri"&amp;11&amp;K000000&amp;"Calibri"&amp;11&amp;K000000
&amp;1#&amp;"Calibri"&amp;8&amp;K000000 Classified as Internal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23"/>
  <sheetViews>
    <sheetView zoomScale="90" zoomScaleNormal="90" zoomScaleSheetLayoutView="100" zoomScalePageLayoutView="0" workbookViewId="0" topLeftCell="C4">
      <selection activeCell="O15" sqref="O15"/>
    </sheetView>
  </sheetViews>
  <sheetFormatPr defaultColWidth="9.28125" defaultRowHeight="12.75"/>
  <cols>
    <col min="1" max="1" width="11.28125" style="66" bestFit="1" customWidth="1"/>
    <col min="2" max="2" width="12.28125" style="16" bestFit="1" customWidth="1"/>
    <col min="3" max="3" width="11.28125" style="16" bestFit="1" customWidth="1"/>
    <col min="4" max="4" width="23.28125" style="16" hidden="1" customWidth="1"/>
    <col min="5" max="5" width="54.00390625" style="16" customWidth="1"/>
    <col min="6" max="12" width="8.28125" style="16" bestFit="1" customWidth="1"/>
    <col min="13" max="16384" width="9.28125" style="16" customWidth="1"/>
  </cols>
  <sheetData>
    <row r="1" spans="1:5" ht="17.25">
      <c r="A1" s="68">
        <v>44196</v>
      </c>
      <c r="B1" s="32" t="s">
        <v>26</v>
      </c>
      <c r="C1" s="33"/>
      <c r="D1" s="34" t="str">
        <f>Company</f>
        <v>AB Electrolux</v>
      </c>
      <c r="E1" s="34" t="str">
        <f>Company</f>
        <v>AB Electrolux</v>
      </c>
    </row>
    <row r="2" spans="1:5" ht="12.75">
      <c r="A2" s="69"/>
      <c r="B2" s="32" t="s">
        <v>28</v>
      </c>
      <c r="C2" s="33"/>
      <c r="D2" s="35">
        <f>A1</f>
        <v>44196</v>
      </c>
      <c r="E2" s="36">
        <f>+A1</f>
        <v>44196</v>
      </c>
    </row>
    <row r="3" spans="1:5" ht="12.75">
      <c r="A3" s="69"/>
      <c r="B3" s="32" t="s">
        <v>29</v>
      </c>
      <c r="C3" s="33" t="s">
        <v>30</v>
      </c>
      <c r="D3" s="37" t="s">
        <v>31</v>
      </c>
      <c r="E3" s="37" t="s">
        <v>32</v>
      </c>
    </row>
    <row r="4" spans="1:5" ht="12.75">
      <c r="A4" s="66" t="s">
        <v>6</v>
      </c>
      <c r="B4" s="32" t="s">
        <v>33</v>
      </c>
      <c r="D4" s="15" t="s">
        <v>115</v>
      </c>
      <c r="E4" s="15" t="s">
        <v>115</v>
      </c>
    </row>
    <row r="5" spans="2:5" ht="12.75">
      <c r="B5" s="32" t="s">
        <v>35</v>
      </c>
      <c r="C5" s="33" t="s">
        <v>139</v>
      </c>
      <c r="D5" s="14"/>
      <c r="E5" s="14"/>
    </row>
    <row r="6" spans="1:15" s="44" customFormat="1" ht="15">
      <c r="A6" s="71" t="s">
        <v>7</v>
      </c>
      <c r="B6" s="41" t="s">
        <v>34</v>
      </c>
      <c r="C6" s="38" t="s">
        <v>139</v>
      </c>
      <c r="D6" s="53" t="s">
        <v>178</v>
      </c>
      <c r="E6" s="53" t="s">
        <v>178</v>
      </c>
      <c r="F6" s="44">
        <v>2014</v>
      </c>
      <c r="G6" s="44">
        <v>2015</v>
      </c>
      <c r="H6" s="44">
        <v>2016</v>
      </c>
      <c r="I6" s="44" t="s">
        <v>197</v>
      </c>
      <c r="J6" s="44">
        <v>2018</v>
      </c>
      <c r="K6" s="44">
        <v>2019</v>
      </c>
      <c r="L6" s="44">
        <v>2020</v>
      </c>
      <c r="M6" s="44">
        <v>2021</v>
      </c>
      <c r="N6" s="44">
        <v>2022</v>
      </c>
      <c r="O6" s="44">
        <v>2023</v>
      </c>
    </row>
    <row r="7" spans="1:5" s="13" customFormat="1" ht="12.75">
      <c r="A7" s="65" t="s">
        <v>177</v>
      </c>
      <c r="B7" s="80"/>
      <c r="C7" s="81"/>
      <c r="D7" s="82" t="s">
        <v>163</v>
      </c>
      <c r="E7" s="82" t="s">
        <v>163</v>
      </c>
    </row>
    <row r="8" spans="1:15" ht="12.75">
      <c r="A8" s="66" t="s">
        <v>8</v>
      </c>
      <c r="B8" s="84" t="s">
        <v>11</v>
      </c>
      <c r="C8" s="66"/>
      <c r="D8" s="18" t="s">
        <v>116</v>
      </c>
      <c r="E8" s="18" t="s">
        <v>116</v>
      </c>
      <c r="F8" s="7">
        <v>112143</v>
      </c>
      <c r="G8" s="7">
        <v>123511</v>
      </c>
      <c r="H8" s="7">
        <v>121093</v>
      </c>
      <c r="I8" s="7">
        <v>120771</v>
      </c>
      <c r="J8" s="7">
        <v>115463</v>
      </c>
      <c r="K8" s="7">
        <v>118981</v>
      </c>
      <c r="L8" s="7">
        <v>115960</v>
      </c>
      <c r="M8" s="20">
        <v>125630.6954487</v>
      </c>
      <c r="N8" s="20">
        <v>98814.8112689</v>
      </c>
      <c r="O8" s="20">
        <v>134450.9754616</v>
      </c>
    </row>
    <row r="9" spans="1:15" ht="12.75">
      <c r="A9" s="66" t="s">
        <v>8</v>
      </c>
      <c r="B9" s="84" t="s">
        <v>11</v>
      </c>
      <c r="C9" s="66" t="s">
        <v>168</v>
      </c>
      <c r="D9" s="18" t="s">
        <v>193</v>
      </c>
      <c r="E9" s="18" t="s">
        <v>193</v>
      </c>
      <c r="F9" s="10">
        <v>1.1</v>
      </c>
      <c r="G9" s="10">
        <v>2.5</v>
      </c>
      <c r="H9" s="10">
        <v>-1</v>
      </c>
      <c r="I9" s="10">
        <v>0.5</v>
      </c>
      <c r="J9" s="10">
        <v>1.2</v>
      </c>
      <c r="K9" s="10">
        <v>-1.3</v>
      </c>
      <c r="L9" s="10">
        <v>3.2725593</v>
      </c>
      <c r="M9" s="21">
        <v>14.321726068706365</v>
      </c>
      <c r="N9" s="21">
        <v>-5.41</v>
      </c>
      <c r="O9" s="21">
        <v>-4.295506666356053</v>
      </c>
    </row>
    <row r="10" spans="1:15" ht="12.75">
      <c r="A10" s="66" t="s">
        <v>8</v>
      </c>
      <c r="B10" s="84" t="s">
        <v>11</v>
      </c>
      <c r="C10" s="66" t="s">
        <v>168</v>
      </c>
      <c r="D10" s="18" t="s">
        <v>182</v>
      </c>
      <c r="E10" s="18" t="s">
        <v>182</v>
      </c>
      <c r="F10" s="115">
        <v>1.1</v>
      </c>
      <c r="G10" s="115">
        <v>2.2</v>
      </c>
      <c r="H10" s="115">
        <v>1.1</v>
      </c>
      <c r="I10" s="115">
        <v>-0.4</v>
      </c>
      <c r="J10" s="115">
        <v>1.2</v>
      </c>
      <c r="K10" s="115">
        <v>-1</v>
      </c>
      <c r="L10" s="115">
        <v>3.1964637</v>
      </c>
      <c r="M10" s="227">
        <v>14.152638416946917</v>
      </c>
      <c r="N10" s="227">
        <v>-4.95</v>
      </c>
      <c r="O10" s="227">
        <v>-3.96</v>
      </c>
    </row>
    <row r="11" spans="1:15" ht="12.75">
      <c r="A11" s="66" t="s">
        <v>8</v>
      </c>
      <c r="B11" s="66"/>
      <c r="C11" s="66"/>
      <c r="D11" s="18" t="s">
        <v>117</v>
      </c>
      <c r="E11" s="18" t="s">
        <v>117</v>
      </c>
      <c r="F11" s="7">
        <v>3671</v>
      </c>
      <c r="G11" s="7">
        <v>3936</v>
      </c>
      <c r="H11" s="7">
        <v>3934</v>
      </c>
      <c r="I11" s="7">
        <v>3977</v>
      </c>
      <c r="J11" s="7">
        <v>3981</v>
      </c>
      <c r="K11" s="7">
        <v>4821</v>
      </c>
      <c r="L11" s="7">
        <v>4587</v>
      </c>
      <c r="M11" s="20">
        <v>4489.115849</v>
      </c>
      <c r="N11" s="20">
        <v>4677.2107778</v>
      </c>
      <c r="O11" s="20">
        <v>6277.201758700001</v>
      </c>
    </row>
    <row r="12" spans="1:15" ht="12.75">
      <c r="A12" s="66" t="s">
        <v>8</v>
      </c>
      <c r="B12" s="66"/>
      <c r="C12" s="66"/>
      <c r="D12" s="18" t="s">
        <v>195</v>
      </c>
      <c r="E12" s="18" t="s">
        <v>195</v>
      </c>
      <c r="F12" s="7">
        <f>3581--1348</f>
        <v>4929</v>
      </c>
      <c r="G12" s="7">
        <f>2741--2249</f>
        <v>4990</v>
      </c>
      <c r="H12" s="7">
        <v>6274</v>
      </c>
      <c r="I12" s="7">
        <v>7407</v>
      </c>
      <c r="J12" s="7">
        <v>5519</v>
      </c>
      <c r="K12" s="7">
        <v>4533</v>
      </c>
      <c r="L12" s="7">
        <v>5778</v>
      </c>
      <c r="M12" s="20">
        <v>7527.78678400003</v>
      </c>
      <c r="N12" s="20">
        <v>831.1015644999716</v>
      </c>
      <c r="O12" s="20">
        <v>414</v>
      </c>
    </row>
    <row r="13" spans="1:15" ht="12.75">
      <c r="A13" s="66" t="s">
        <v>8</v>
      </c>
      <c r="B13" s="214" t="s">
        <v>237</v>
      </c>
      <c r="C13" s="66" t="s">
        <v>168</v>
      </c>
      <c r="D13" s="18" t="s">
        <v>196</v>
      </c>
      <c r="E13" s="18" t="s">
        <v>196</v>
      </c>
      <c r="F13" s="10">
        <f>F12/F8*100</f>
        <v>4.395281025119713</v>
      </c>
      <c r="G13" s="10">
        <f>G12/G8*100</f>
        <v>4.040125980681883</v>
      </c>
      <c r="H13" s="10">
        <f>H12/H8*100</f>
        <v>5.18114176707159</v>
      </c>
      <c r="I13" s="10">
        <f>I12/I8*100</f>
        <v>6.133094865489232</v>
      </c>
      <c r="J13" s="10">
        <v>4.779886197309961</v>
      </c>
      <c r="K13" s="10">
        <v>3.809851993175381</v>
      </c>
      <c r="L13" s="10">
        <v>5</v>
      </c>
      <c r="M13" s="21">
        <v>5.9919964281929206</v>
      </c>
      <c r="N13" s="21">
        <v>0.6161792207239756</v>
      </c>
      <c r="O13" s="21">
        <v>0.3</v>
      </c>
    </row>
    <row r="14" spans="1:15" ht="15">
      <c r="A14" s="66" t="s">
        <v>8</v>
      </c>
      <c r="B14" s="66"/>
      <c r="C14" s="66"/>
      <c r="D14" s="18" t="s">
        <v>194</v>
      </c>
      <c r="E14" s="18" t="s">
        <v>194</v>
      </c>
      <c r="F14" s="63">
        <v>-1348</v>
      </c>
      <c r="G14" s="63">
        <v>-2249</v>
      </c>
      <c r="H14" s="63">
        <v>0</v>
      </c>
      <c r="I14" s="63">
        <v>0</v>
      </c>
      <c r="J14" s="63">
        <v>-1343</v>
      </c>
      <c r="K14" s="63">
        <v>-1344</v>
      </c>
      <c r="L14" s="63">
        <v>0</v>
      </c>
      <c r="M14" s="63">
        <v>-727</v>
      </c>
      <c r="N14" s="63">
        <v>-1046</v>
      </c>
      <c r="O14" s="63">
        <v>-3401</v>
      </c>
    </row>
    <row r="15" spans="1:15" ht="12.75">
      <c r="A15" s="66" t="s">
        <v>8</v>
      </c>
      <c r="B15" s="66"/>
      <c r="C15" s="66"/>
      <c r="D15" s="18" t="s">
        <v>118</v>
      </c>
      <c r="E15" s="18" t="s">
        <v>118</v>
      </c>
      <c r="F15" s="7">
        <v>3581</v>
      </c>
      <c r="G15" s="7">
        <v>2741</v>
      </c>
      <c r="H15" s="7">
        <v>6274</v>
      </c>
      <c r="I15" s="7">
        <v>7407</v>
      </c>
      <c r="J15" s="7">
        <v>4176</v>
      </c>
      <c r="K15" s="7">
        <v>3189</v>
      </c>
      <c r="L15" s="7">
        <v>5778</v>
      </c>
      <c r="M15" s="20">
        <v>6800.815359000027</v>
      </c>
      <c r="N15" s="20">
        <v>-215</v>
      </c>
      <c r="O15" s="20">
        <v>-2988</v>
      </c>
    </row>
    <row r="16" spans="1:15" ht="12.75">
      <c r="A16" s="66" t="s">
        <v>8</v>
      </c>
      <c r="B16" s="84" t="s">
        <v>11</v>
      </c>
      <c r="C16" s="66" t="s">
        <v>168</v>
      </c>
      <c r="D16" s="18" t="s">
        <v>183</v>
      </c>
      <c r="E16" s="18" t="s">
        <v>183</v>
      </c>
      <c r="F16" s="21">
        <v>3.2</v>
      </c>
      <c r="G16" s="21">
        <v>2.2192355336771623</v>
      </c>
      <c r="H16" s="21">
        <v>5.18114176707159</v>
      </c>
      <c r="I16" s="21">
        <v>6.1</v>
      </c>
      <c r="J16" s="21">
        <v>3.6</v>
      </c>
      <c r="K16" s="21">
        <v>2.6802598734251686</v>
      </c>
      <c r="L16" s="21">
        <v>5</v>
      </c>
      <c r="M16" s="21">
        <v>5.413338941339432</v>
      </c>
      <c r="N16" s="21">
        <v>0.2299361764520247</v>
      </c>
      <c r="O16" s="21">
        <v>-2.2220437118012812</v>
      </c>
    </row>
    <row r="17" spans="1:15" ht="12.75">
      <c r="A17" s="66" t="s">
        <v>8</v>
      </c>
      <c r="B17" s="66"/>
      <c r="C17" s="66"/>
      <c r="D17" s="18" t="s">
        <v>119</v>
      </c>
      <c r="E17" s="18" t="s">
        <v>119</v>
      </c>
      <c r="F17" s="7">
        <v>2997</v>
      </c>
      <c r="G17" s="7">
        <v>2101</v>
      </c>
      <c r="H17" s="7">
        <v>5581</v>
      </c>
      <c r="I17" s="7">
        <v>6966</v>
      </c>
      <c r="J17" s="7">
        <v>3754</v>
      </c>
      <c r="K17" s="7">
        <v>2456</v>
      </c>
      <c r="L17" s="7">
        <v>5096</v>
      </c>
      <c r="M17" s="20">
        <v>6254.887364400027</v>
      </c>
      <c r="N17" s="20">
        <v>-1325.7668581999842</v>
      </c>
      <c r="O17" s="20">
        <v>-5110.632781599979</v>
      </c>
    </row>
    <row r="18" spans="1:15" ht="12.75">
      <c r="A18" s="66" t="s">
        <v>8</v>
      </c>
      <c r="B18" s="66"/>
      <c r="C18" s="66"/>
      <c r="D18" s="18" t="s">
        <v>0</v>
      </c>
      <c r="E18" s="18" t="s">
        <v>0</v>
      </c>
      <c r="F18" s="7">
        <v>2242</v>
      </c>
      <c r="G18" s="7">
        <v>1568</v>
      </c>
      <c r="H18" s="7">
        <v>4493</v>
      </c>
      <c r="I18" s="7">
        <v>5745</v>
      </c>
      <c r="J18" s="7">
        <v>2854</v>
      </c>
      <c r="K18" s="7">
        <v>1820</v>
      </c>
      <c r="L18" s="7">
        <v>3988</v>
      </c>
      <c r="M18" s="20">
        <v>4677.668882500006</v>
      </c>
      <c r="N18" s="20">
        <v>-1113.7412261000081</v>
      </c>
      <c r="O18" s="20">
        <v>-5226.677075199999</v>
      </c>
    </row>
    <row r="19" spans="1:3" ht="12.75">
      <c r="A19" s="66" t="s">
        <v>10</v>
      </c>
      <c r="B19" s="66"/>
      <c r="C19" s="66"/>
    </row>
    <row r="20" spans="1:5" ht="12.75">
      <c r="A20" s="66" t="s">
        <v>16</v>
      </c>
      <c r="B20" s="66"/>
      <c r="C20" s="66"/>
      <c r="D20" s="18" t="s">
        <v>209</v>
      </c>
      <c r="E20" s="18" t="s">
        <v>209</v>
      </c>
    </row>
    <row r="21" spans="1:5" ht="12.75">
      <c r="A21" s="66" t="s">
        <v>16</v>
      </c>
      <c r="B21" s="66"/>
      <c r="C21" s="66"/>
      <c r="D21" s="16" t="s">
        <v>198</v>
      </c>
      <c r="E21" s="16" t="s">
        <v>198</v>
      </c>
    </row>
    <row r="22" ht="12.75">
      <c r="A22" s="66" t="s">
        <v>10</v>
      </c>
    </row>
    <row r="23" spans="1:12" ht="118.5">
      <c r="A23" s="66" t="s">
        <v>615</v>
      </c>
      <c r="E23" s="61" t="s">
        <v>616</v>
      </c>
      <c r="F23" s="55"/>
      <c r="G23" s="55"/>
      <c r="H23" s="55"/>
      <c r="I23" s="55"/>
      <c r="J23" s="55"/>
      <c r="K23" s="55"/>
      <c r="L23" s="55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10" r:id="rId1"/>
  <headerFooter alignWithMargins="0">
    <oddHeader>&amp;L&amp;D/&amp;F</oddHeader>
    <oddFooter>&amp;L&amp;"Calibri"&amp;11&amp;K000000&amp;"Calibri"&amp;11&amp;K000000
&amp;1#&amp;"Calibri"&amp;8&amp;K000000 Classified as Internal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13"/>
  <sheetViews>
    <sheetView zoomScaleSheetLayoutView="90" zoomScalePageLayoutView="0" workbookViewId="0" topLeftCell="C1">
      <selection activeCell="F36" sqref="F36"/>
    </sheetView>
  </sheetViews>
  <sheetFormatPr defaultColWidth="9.28125" defaultRowHeight="12.75"/>
  <cols>
    <col min="1" max="1" width="12.28125" style="66" bestFit="1" customWidth="1"/>
    <col min="2" max="2" width="12.28125" style="16" customWidth="1"/>
    <col min="3" max="3" width="11.28125" style="16" customWidth="1"/>
    <col min="4" max="4" width="27.57421875" style="16" hidden="1" customWidth="1"/>
    <col min="5" max="5" width="30.7109375" style="16" customWidth="1"/>
    <col min="6" max="16384" width="9.28125" style="16" customWidth="1"/>
  </cols>
  <sheetData>
    <row r="1" spans="1:5" ht="17.25">
      <c r="A1" s="68">
        <v>44196</v>
      </c>
      <c r="B1" s="32" t="s">
        <v>26</v>
      </c>
      <c r="C1" s="33"/>
      <c r="D1" s="34" t="str">
        <f>Company</f>
        <v>AB Electrolux</v>
      </c>
      <c r="E1" s="34" t="str">
        <f>Company</f>
        <v>AB Electrolux</v>
      </c>
    </row>
    <row r="2" spans="1:5" ht="12.75">
      <c r="A2" s="69"/>
      <c r="B2" s="32" t="s">
        <v>28</v>
      </c>
      <c r="C2" s="33"/>
      <c r="D2" s="35">
        <f>A1</f>
        <v>44196</v>
      </c>
      <c r="E2" s="36">
        <f>+A1</f>
        <v>44196</v>
      </c>
    </row>
    <row r="3" spans="1:5" ht="12.75">
      <c r="A3" s="69"/>
      <c r="B3" s="32" t="s">
        <v>29</v>
      </c>
      <c r="C3" s="33" t="s">
        <v>30</v>
      </c>
      <c r="D3" s="37" t="s">
        <v>31</v>
      </c>
      <c r="E3" s="37" t="s">
        <v>32</v>
      </c>
    </row>
    <row r="4" spans="1:5" ht="12.75">
      <c r="A4" s="66" t="s">
        <v>6</v>
      </c>
      <c r="B4" s="32" t="s">
        <v>33</v>
      </c>
      <c r="D4" s="24" t="s">
        <v>154</v>
      </c>
      <c r="E4" s="24" t="s">
        <v>154</v>
      </c>
    </row>
    <row r="5" spans="2:5" ht="12.75">
      <c r="B5" s="32" t="s">
        <v>35</v>
      </c>
      <c r="C5" s="33"/>
      <c r="D5" s="14"/>
      <c r="E5" s="14"/>
    </row>
    <row r="6" spans="1:15" s="17" customFormat="1" ht="12.75">
      <c r="A6" s="67" t="s">
        <v>7</v>
      </c>
      <c r="B6" s="41" t="s">
        <v>34</v>
      </c>
      <c r="C6" s="38"/>
      <c r="D6" s="50" t="s">
        <v>138</v>
      </c>
      <c r="E6" s="50" t="s">
        <v>138</v>
      </c>
      <c r="F6" s="51">
        <v>2014</v>
      </c>
      <c r="G6" s="51">
        <v>2015</v>
      </c>
      <c r="H6" s="51">
        <v>2016</v>
      </c>
      <c r="I6" s="51">
        <v>2017</v>
      </c>
      <c r="J6" s="51">
        <v>2018</v>
      </c>
      <c r="K6" s="51">
        <v>2019</v>
      </c>
      <c r="L6" s="51">
        <v>2020</v>
      </c>
      <c r="M6" s="51">
        <v>2021</v>
      </c>
      <c r="N6" s="51">
        <v>2022</v>
      </c>
      <c r="O6" s="51">
        <v>2023</v>
      </c>
    </row>
    <row r="7" spans="1:5" s="13" customFormat="1" ht="12.75">
      <c r="A7" s="65" t="s">
        <v>177</v>
      </c>
      <c r="B7" s="65"/>
      <c r="C7" s="65" t="s">
        <v>168</v>
      </c>
      <c r="D7" s="13" t="s">
        <v>171</v>
      </c>
      <c r="E7" s="13" t="s">
        <v>171</v>
      </c>
    </row>
    <row r="8" spans="1:15" ht="12.75">
      <c r="A8" s="66" t="s">
        <v>8</v>
      </c>
      <c r="B8" s="66"/>
      <c r="C8" s="66" t="s">
        <v>168</v>
      </c>
      <c r="D8" s="31" t="s">
        <v>172</v>
      </c>
      <c r="E8" s="31" t="s">
        <v>172</v>
      </c>
      <c r="F8" s="4">
        <v>1.1</v>
      </c>
      <c r="G8" s="4">
        <v>2.2</v>
      </c>
      <c r="H8" s="4">
        <v>-1.1</v>
      </c>
      <c r="I8" s="4">
        <v>-0.4</v>
      </c>
      <c r="J8" s="4">
        <v>1.2</v>
      </c>
      <c r="K8" s="4">
        <v>-1</v>
      </c>
      <c r="L8" s="4">
        <v>3.196463</v>
      </c>
      <c r="M8" s="2">
        <v>14.152638416946917</v>
      </c>
      <c r="N8" s="2">
        <v>-2.8</v>
      </c>
      <c r="O8" s="2">
        <v>-4</v>
      </c>
    </row>
    <row r="9" spans="1:15" ht="12.75">
      <c r="A9" s="66" t="s">
        <v>8</v>
      </c>
      <c r="B9" s="66"/>
      <c r="C9" s="66" t="s">
        <v>168</v>
      </c>
      <c r="D9" s="31" t="s">
        <v>173</v>
      </c>
      <c r="E9" s="31" t="s">
        <v>173</v>
      </c>
      <c r="F9" s="4">
        <v>0</v>
      </c>
      <c r="G9" s="4">
        <v>0.1</v>
      </c>
      <c r="H9" s="4">
        <v>0.1</v>
      </c>
      <c r="I9" s="4">
        <v>1</v>
      </c>
      <c r="J9" s="4">
        <v>0</v>
      </c>
      <c r="K9" s="4">
        <v>-0.3</v>
      </c>
      <c r="L9" s="4">
        <v>0.07609559</v>
      </c>
      <c r="M9" s="2">
        <v>0.16908765175943136</v>
      </c>
      <c r="N9" s="2">
        <v>-0.8</v>
      </c>
      <c r="O9" s="2">
        <v>-0.346</v>
      </c>
    </row>
    <row r="10" spans="1:15" ht="12.75">
      <c r="A10" s="66" t="s">
        <v>8</v>
      </c>
      <c r="B10" s="66"/>
      <c r="C10" s="66" t="s">
        <v>168</v>
      </c>
      <c r="D10" s="42" t="s">
        <v>174</v>
      </c>
      <c r="E10" s="42" t="s">
        <v>174</v>
      </c>
      <c r="F10" s="2">
        <v>1.6411567461589907</v>
      </c>
      <c r="G10" s="2">
        <v>7.8</v>
      </c>
      <c r="H10" s="2">
        <v>-0.9577203649877335</v>
      </c>
      <c r="I10" s="2">
        <v>0.2</v>
      </c>
      <c r="J10" s="2">
        <v>0.9</v>
      </c>
      <c r="K10" s="2">
        <v>4.3</v>
      </c>
      <c r="L10" s="2">
        <v>-5.8112538</v>
      </c>
      <c r="M10" s="2">
        <v>-5.982362488065036</v>
      </c>
      <c r="N10" s="2">
        <v>10.9</v>
      </c>
      <c r="O10" s="2">
        <v>4</v>
      </c>
    </row>
    <row r="11" spans="1:15" s="24" customFormat="1" ht="12.75">
      <c r="A11" s="74" t="s">
        <v>1</v>
      </c>
      <c r="B11" s="74"/>
      <c r="C11" s="74" t="s">
        <v>168</v>
      </c>
      <c r="D11" s="40" t="s">
        <v>175</v>
      </c>
      <c r="E11" s="40" t="s">
        <v>175</v>
      </c>
      <c r="F11" s="5">
        <v>2.7411567461589907</v>
      </c>
      <c r="G11" s="5">
        <v>10.137057150245669</v>
      </c>
      <c r="H11" s="5">
        <v>-1.9577203649877337</v>
      </c>
      <c r="I11" s="5">
        <v>0.7985597846283434</v>
      </c>
      <c r="J11" s="5">
        <v>2.1</v>
      </c>
      <c r="K11" s="5">
        <v>3</v>
      </c>
      <c r="L11" s="5">
        <f>SUM(L8:L10)</f>
        <v>-2.53869521</v>
      </c>
      <c r="M11" s="5">
        <v>8.339363580641313</v>
      </c>
      <c r="N11" s="228">
        <f>SUM(N8:N10)</f>
        <v>7.300000000000001</v>
      </c>
      <c r="O11" s="228">
        <v>-0.3460000000000001</v>
      </c>
    </row>
    <row r="12" ht="12.75">
      <c r="A12" s="66" t="s">
        <v>10</v>
      </c>
    </row>
    <row r="13" spans="1:12" ht="184.5">
      <c r="A13" s="66" t="s">
        <v>615</v>
      </c>
      <c r="E13" s="61" t="s">
        <v>616</v>
      </c>
      <c r="F13" s="55"/>
      <c r="G13" s="55"/>
      <c r="H13" s="55"/>
      <c r="I13" s="55"/>
      <c r="J13" s="55"/>
      <c r="K13" s="55"/>
      <c r="L13" s="55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&amp;L&amp;D/&amp;F</oddHeader>
    <oddFooter>&amp;L&amp;"Calibri"&amp;11&amp;K000000&amp;"Calibri"&amp;11&amp;K000000
&amp;1#&amp;"Calibri"&amp;8&amp;K000000 Classified as Internal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22"/>
  <sheetViews>
    <sheetView zoomScaleSheetLayoutView="100" zoomScalePageLayoutView="0" workbookViewId="0" topLeftCell="E4">
      <selection activeCell="P46" sqref="P46"/>
    </sheetView>
  </sheetViews>
  <sheetFormatPr defaultColWidth="9.28125" defaultRowHeight="12.75"/>
  <cols>
    <col min="1" max="1" width="11.28125" style="66" bestFit="1" customWidth="1"/>
    <col min="2" max="2" width="12.28125" style="16" bestFit="1" customWidth="1"/>
    <col min="3" max="3" width="11.28125" style="16" bestFit="1" customWidth="1"/>
    <col min="4" max="4" width="23.28125" style="16" hidden="1" customWidth="1"/>
    <col min="5" max="5" width="54.00390625" style="16" customWidth="1"/>
    <col min="6" max="13" width="7.57421875" style="16" bestFit="1" customWidth="1"/>
    <col min="14" max="16384" width="9.28125" style="16" customWidth="1"/>
  </cols>
  <sheetData>
    <row r="1" spans="1:5" ht="17.25">
      <c r="A1" s="68">
        <v>44196</v>
      </c>
      <c r="B1" s="32" t="s">
        <v>26</v>
      </c>
      <c r="C1" s="33"/>
      <c r="D1" s="34" t="str">
        <f>Company</f>
        <v>AB Electrolux</v>
      </c>
      <c r="E1" s="34" t="str">
        <f>Company</f>
        <v>AB Electrolux</v>
      </c>
    </row>
    <row r="2" spans="1:5" ht="12.75">
      <c r="A2" s="69"/>
      <c r="B2" s="32" t="s">
        <v>28</v>
      </c>
      <c r="C2" s="33"/>
      <c r="D2" s="35">
        <f>A1</f>
        <v>44196</v>
      </c>
      <c r="E2" s="36">
        <f>+A1</f>
        <v>44196</v>
      </c>
    </row>
    <row r="3" spans="1:5" ht="12.75">
      <c r="A3" s="69"/>
      <c r="B3" s="32" t="s">
        <v>29</v>
      </c>
      <c r="C3" s="33" t="s">
        <v>30</v>
      </c>
      <c r="D3" s="37" t="s">
        <v>31</v>
      </c>
      <c r="E3" s="37" t="s">
        <v>32</v>
      </c>
    </row>
    <row r="4" spans="1:5" ht="15">
      <c r="A4" s="66" t="s">
        <v>6</v>
      </c>
      <c r="B4" s="32" t="s">
        <v>33</v>
      </c>
      <c r="D4" s="24" t="s">
        <v>576</v>
      </c>
      <c r="E4" s="24" t="s">
        <v>632</v>
      </c>
    </row>
    <row r="5" spans="2:5" ht="12.75">
      <c r="B5" s="32" t="s">
        <v>35</v>
      </c>
      <c r="C5" s="33" t="s">
        <v>139</v>
      </c>
      <c r="D5" s="14"/>
      <c r="E5" s="14"/>
    </row>
    <row r="6" spans="1:15" s="44" customFormat="1" ht="12.75">
      <c r="A6" s="71" t="s">
        <v>7</v>
      </c>
      <c r="B6" s="41" t="s">
        <v>34</v>
      </c>
      <c r="C6" s="38" t="s">
        <v>139</v>
      </c>
      <c r="D6" s="53" t="s">
        <v>178</v>
      </c>
      <c r="E6" s="53" t="s">
        <v>178</v>
      </c>
      <c r="F6" s="44">
        <v>2014</v>
      </c>
      <c r="G6" s="44">
        <v>2015</v>
      </c>
      <c r="H6" s="44">
        <v>2016</v>
      </c>
      <c r="I6" s="44">
        <v>2017</v>
      </c>
      <c r="J6" s="44">
        <v>2018</v>
      </c>
      <c r="K6" s="44">
        <v>2019</v>
      </c>
      <c r="L6" s="44">
        <v>2020</v>
      </c>
      <c r="M6" s="51">
        <v>2021</v>
      </c>
      <c r="N6" s="51">
        <v>2022</v>
      </c>
      <c r="O6" s="51">
        <v>2023</v>
      </c>
    </row>
    <row r="7" spans="1:5" s="13" customFormat="1" ht="12.75">
      <c r="A7" s="65" t="s">
        <v>177</v>
      </c>
      <c r="B7" s="80"/>
      <c r="C7" s="81"/>
      <c r="D7" s="82" t="s">
        <v>163</v>
      </c>
      <c r="E7" s="82" t="s">
        <v>163</v>
      </c>
    </row>
    <row r="8" spans="1:15" ht="12.75">
      <c r="A8" s="66" t="s">
        <v>8</v>
      </c>
      <c r="B8" s="66"/>
      <c r="C8" s="66"/>
      <c r="D8" s="18" t="s">
        <v>14</v>
      </c>
      <c r="E8" s="18" t="s">
        <v>14</v>
      </c>
      <c r="F8" s="7">
        <v>85688</v>
      </c>
      <c r="G8" s="7">
        <v>83471</v>
      </c>
      <c r="H8" s="7">
        <v>85848</v>
      </c>
      <c r="I8" s="7">
        <v>89542</v>
      </c>
      <c r="J8" s="7">
        <v>97312</v>
      </c>
      <c r="K8" s="7">
        <v>106808</v>
      </c>
      <c r="L8" s="7">
        <v>99604</v>
      </c>
      <c r="M8" s="20">
        <v>107607</v>
      </c>
      <c r="N8" s="20">
        <v>129097.40644939992</v>
      </c>
      <c r="O8" s="20">
        <v>120052.70827149999</v>
      </c>
    </row>
    <row r="9" spans="1:15" ht="12.75">
      <c r="A9" s="66" t="s">
        <v>8</v>
      </c>
      <c r="B9" s="85" t="s">
        <v>11</v>
      </c>
      <c r="C9" s="66"/>
      <c r="D9" s="18" t="s">
        <v>123</v>
      </c>
      <c r="E9" s="18" t="s">
        <v>123</v>
      </c>
      <c r="F9" s="7">
        <v>26099</v>
      </c>
      <c r="G9" s="7">
        <v>21412</v>
      </c>
      <c r="H9" s="7">
        <v>18098</v>
      </c>
      <c r="I9" s="7">
        <v>20678</v>
      </c>
      <c r="J9" s="7">
        <v>23574</v>
      </c>
      <c r="K9" s="7">
        <v>26172</v>
      </c>
      <c r="L9" s="7">
        <v>20265</v>
      </c>
      <c r="M9" s="20">
        <v>27201.1697475</v>
      </c>
      <c r="N9" s="20">
        <v>46084.277218100004</v>
      </c>
      <c r="O9" s="20">
        <v>37500.08708709999</v>
      </c>
    </row>
    <row r="10" spans="1:15" ht="12.75">
      <c r="A10" s="66" t="s">
        <v>8</v>
      </c>
      <c r="B10" s="85" t="s">
        <v>11</v>
      </c>
      <c r="C10" s="66"/>
      <c r="D10" s="18" t="s">
        <v>124</v>
      </c>
      <c r="E10" s="18" t="s">
        <v>124</v>
      </c>
      <c r="F10" s="7">
        <v>-8377</v>
      </c>
      <c r="G10" s="7">
        <v>-12234</v>
      </c>
      <c r="H10" s="7">
        <v>-14966</v>
      </c>
      <c r="I10" s="7">
        <v>-15873</v>
      </c>
      <c r="J10" s="7">
        <v>-16848</v>
      </c>
      <c r="K10" s="7">
        <v>-17390</v>
      </c>
      <c r="L10" s="7">
        <v>-19191</v>
      </c>
      <c r="M10" s="20">
        <v>-17726.405177200006</v>
      </c>
      <c r="N10" s="20">
        <v>-10849.073964700001</v>
      </c>
      <c r="O10" s="20">
        <v>-16924.920235100006</v>
      </c>
    </row>
    <row r="11" spans="1:15" ht="12.75">
      <c r="A11" s="66" t="s">
        <v>8</v>
      </c>
      <c r="B11" s="66"/>
      <c r="C11" s="66"/>
      <c r="D11" s="18" t="s">
        <v>13</v>
      </c>
      <c r="E11" s="18" t="s">
        <v>13</v>
      </c>
      <c r="F11" s="7">
        <v>20663</v>
      </c>
      <c r="G11" s="7">
        <v>17745</v>
      </c>
      <c r="H11" s="7">
        <v>19408</v>
      </c>
      <c r="I11" s="7">
        <v>20747</v>
      </c>
      <c r="J11" s="7">
        <v>21482</v>
      </c>
      <c r="K11" s="7">
        <v>20847</v>
      </c>
      <c r="L11" s="7">
        <v>19944</v>
      </c>
      <c r="M11" s="20">
        <v>23110.3798974</v>
      </c>
      <c r="N11" s="20">
        <v>22681.1544556</v>
      </c>
      <c r="O11" s="20">
        <v>22246.918490699998</v>
      </c>
    </row>
    <row r="12" spans="1:15" ht="12.75">
      <c r="A12" s="66" t="s">
        <v>8</v>
      </c>
      <c r="B12" s="66"/>
      <c r="C12" s="66"/>
      <c r="D12" s="18" t="s">
        <v>12</v>
      </c>
      <c r="E12" s="18" t="s">
        <v>12</v>
      </c>
      <c r="F12" s="7">
        <v>14324</v>
      </c>
      <c r="G12" s="7">
        <v>14179</v>
      </c>
      <c r="H12" s="7">
        <v>13418</v>
      </c>
      <c r="I12" s="7">
        <v>14655</v>
      </c>
      <c r="J12" s="7">
        <v>16750</v>
      </c>
      <c r="K12" s="7">
        <v>16194</v>
      </c>
      <c r="L12" s="7">
        <v>13213</v>
      </c>
      <c r="M12" s="20">
        <v>20478.0506691</v>
      </c>
      <c r="N12" s="20">
        <v>24213.5340448</v>
      </c>
      <c r="O12" s="20">
        <v>19964.908716399998</v>
      </c>
    </row>
    <row r="13" spans="1:15" ht="12.75">
      <c r="A13" s="66" t="s">
        <v>8</v>
      </c>
      <c r="B13" s="66"/>
      <c r="C13" s="66"/>
      <c r="D13" s="18" t="s">
        <v>15</v>
      </c>
      <c r="E13" s="18" t="s">
        <v>15</v>
      </c>
      <c r="F13" s="7">
        <v>25705</v>
      </c>
      <c r="G13" s="7">
        <v>26467</v>
      </c>
      <c r="H13" s="7">
        <v>28283</v>
      </c>
      <c r="I13" s="7">
        <v>31114</v>
      </c>
      <c r="J13" s="7">
        <v>34443</v>
      </c>
      <c r="K13" s="7">
        <v>33892</v>
      </c>
      <c r="L13" s="7">
        <v>31306</v>
      </c>
      <c r="M13" s="20">
        <v>-38181.6729358</v>
      </c>
      <c r="N13" s="20">
        <v>37023.74744020001</v>
      </c>
      <c r="O13" s="20">
        <v>36402.343556399996</v>
      </c>
    </row>
    <row r="14" spans="1:15" ht="12.75">
      <c r="A14" s="66" t="s">
        <v>8</v>
      </c>
      <c r="B14" s="85" t="s">
        <v>11</v>
      </c>
      <c r="C14" s="66"/>
      <c r="D14" s="18" t="s">
        <v>24</v>
      </c>
      <c r="E14" s="18" t="s">
        <v>24</v>
      </c>
      <c r="F14" s="7">
        <v>16468</v>
      </c>
      <c r="G14" s="7">
        <v>15005</v>
      </c>
      <c r="H14" s="7">
        <v>17738</v>
      </c>
      <c r="I14" s="7">
        <v>20480</v>
      </c>
      <c r="J14" s="7">
        <v>21749</v>
      </c>
      <c r="K14" s="7">
        <v>22574</v>
      </c>
      <c r="L14" s="7">
        <v>18709</v>
      </c>
      <c r="M14" s="20">
        <v>18610.24402130001</v>
      </c>
      <c r="N14" s="20">
        <v>16695.72177699999</v>
      </c>
      <c r="O14" s="20">
        <v>11273.88929859999</v>
      </c>
    </row>
    <row r="15" spans="1:15" ht="12.75">
      <c r="A15" s="66" t="s">
        <v>8</v>
      </c>
      <c r="B15" s="66"/>
      <c r="C15" s="66"/>
      <c r="D15" s="18" t="s">
        <v>23</v>
      </c>
      <c r="E15" s="18" t="s">
        <v>23</v>
      </c>
      <c r="F15" s="7">
        <v>14703</v>
      </c>
      <c r="G15" s="7">
        <v>13097</v>
      </c>
      <c r="H15" s="7">
        <v>10202</v>
      </c>
      <c r="I15" s="7">
        <v>9537</v>
      </c>
      <c r="J15" s="7">
        <v>9982</v>
      </c>
      <c r="K15" s="7">
        <v>10989</v>
      </c>
      <c r="L15" s="7">
        <v>15412</v>
      </c>
      <c r="M15" s="20">
        <v>15680.836312900003</v>
      </c>
      <c r="N15" s="20">
        <v>39644.484706300005</v>
      </c>
      <c r="O15" s="20">
        <v>36140.1021464</v>
      </c>
    </row>
    <row r="16" spans="1:15" ht="12.75">
      <c r="A16" s="66" t="s">
        <v>8</v>
      </c>
      <c r="B16" s="66"/>
      <c r="C16" s="66"/>
      <c r="D16" s="18" t="s">
        <v>161</v>
      </c>
      <c r="E16" s="18" t="s">
        <v>161</v>
      </c>
      <c r="F16" s="7">
        <v>4763</v>
      </c>
      <c r="G16" s="7">
        <v>4509</v>
      </c>
      <c r="H16" s="7">
        <v>4169</v>
      </c>
      <c r="I16" s="7">
        <v>2634</v>
      </c>
      <c r="J16" s="7">
        <v>3814</v>
      </c>
      <c r="K16" s="7">
        <v>3866</v>
      </c>
      <c r="L16" s="7">
        <v>3679</v>
      </c>
      <c r="M16" s="20">
        <v>890.9580339999998</v>
      </c>
      <c r="N16" s="20">
        <v>621.0250352</v>
      </c>
      <c r="O16" s="20">
        <v>670.2074362000003</v>
      </c>
    </row>
    <row r="17" spans="1:15" ht="12.75">
      <c r="A17" s="66" t="s">
        <v>8</v>
      </c>
      <c r="B17" s="214" t="s">
        <v>237</v>
      </c>
      <c r="C17" s="66"/>
      <c r="D17" s="18" t="s">
        <v>160</v>
      </c>
      <c r="E17" s="18" t="s">
        <v>160</v>
      </c>
      <c r="F17" s="7">
        <v>4868</v>
      </c>
      <c r="G17" s="7">
        <v>1898</v>
      </c>
      <c r="H17" s="7">
        <v>-3809</v>
      </c>
      <c r="I17" s="7">
        <v>-2437</v>
      </c>
      <c r="J17" s="7">
        <v>-1989</v>
      </c>
      <c r="K17" s="7">
        <v>667</v>
      </c>
      <c r="L17" s="7">
        <v>-4741</v>
      </c>
      <c r="M17" s="20">
        <v>4644.915414999998</v>
      </c>
      <c r="N17" s="20">
        <v>23869.650119899994</v>
      </c>
      <c r="O17" s="20">
        <v>20870.938716099998</v>
      </c>
    </row>
    <row r="18" spans="1:15" s="17" customFormat="1" ht="12.75">
      <c r="A18" s="66" t="s">
        <v>8</v>
      </c>
      <c r="B18" s="85" t="s">
        <v>11</v>
      </c>
      <c r="C18" s="66"/>
      <c r="D18" s="19" t="s">
        <v>159</v>
      </c>
      <c r="E18" s="19" t="s">
        <v>159</v>
      </c>
      <c r="F18" s="8">
        <v>9631</v>
      </c>
      <c r="G18" s="8">
        <v>6407</v>
      </c>
      <c r="H18" s="8">
        <v>360</v>
      </c>
      <c r="I18" s="8">
        <v>197</v>
      </c>
      <c r="J18" s="8">
        <v>1825</v>
      </c>
      <c r="K18" s="8">
        <v>7683</v>
      </c>
      <c r="L18" s="8">
        <v>1556</v>
      </c>
      <c r="M18" s="226">
        <v>8590.784845499998</v>
      </c>
      <c r="N18" s="226">
        <v>29388.537628499995</v>
      </c>
      <c r="O18" s="226">
        <v>26226.0911479</v>
      </c>
    </row>
    <row r="19" ht="12.75">
      <c r="A19" s="66" t="s">
        <v>10</v>
      </c>
    </row>
    <row r="20" spans="1:5" ht="12.75">
      <c r="A20" s="66" t="s">
        <v>16</v>
      </c>
      <c r="D20" s="18" t="s">
        <v>610</v>
      </c>
      <c r="E20" s="18" t="s">
        <v>610</v>
      </c>
    </row>
    <row r="21" ht="12.75">
      <c r="A21" s="66" t="s">
        <v>10</v>
      </c>
    </row>
    <row r="22" spans="1:13" ht="118.5">
      <c r="A22" s="66" t="s">
        <v>615</v>
      </c>
      <c r="E22" s="61" t="s">
        <v>616</v>
      </c>
      <c r="F22" s="55"/>
      <c r="G22" s="55"/>
      <c r="H22" s="55"/>
      <c r="I22" s="55"/>
      <c r="J22" s="55"/>
      <c r="K22" s="55"/>
      <c r="L22" s="55"/>
      <c r="M22" s="55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1"/>
  <headerFooter alignWithMargins="0">
    <oddHeader>&amp;L&amp;D/&amp;F</oddHeader>
    <oddFooter>&amp;L&amp;"Calibri"&amp;11&amp;K000000&amp;"Calibri"&amp;11&amp;K000000
&amp;1#&amp;"Calibri"&amp;8&amp;K000000 Classified as Internal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19"/>
  <sheetViews>
    <sheetView zoomScaleSheetLayoutView="100" zoomScalePageLayoutView="0" workbookViewId="0" topLeftCell="E3">
      <selection activeCell="O14" sqref="O14"/>
    </sheetView>
  </sheetViews>
  <sheetFormatPr defaultColWidth="9.28125" defaultRowHeight="12.75"/>
  <cols>
    <col min="1" max="1" width="11.28125" style="66" bestFit="1" customWidth="1"/>
    <col min="2" max="2" width="12.28125" style="16" bestFit="1" customWidth="1"/>
    <col min="3" max="3" width="11.28125" style="16" bestFit="1" customWidth="1"/>
    <col min="4" max="4" width="23.28125" style="16" hidden="1" customWidth="1"/>
    <col min="5" max="5" width="66.7109375" style="16" bestFit="1" customWidth="1"/>
    <col min="6" max="12" width="7.57421875" style="16" bestFit="1" customWidth="1"/>
    <col min="13" max="16384" width="9.28125" style="16" customWidth="1"/>
  </cols>
  <sheetData>
    <row r="1" spans="1:5" ht="17.25">
      <c r="A1" s="68">
        <v>44196</v>
      </c>
      <c r="B1" s="32" t="s">
        <v>26</v>
      </c>
      <c r="C1" s="33"/>
      <c r="D1" s="34" t="str">
        <f>Company</f>
        <v>AB Electrolux</v>
      </c>
      <c r="E1" s="34" t="str">
        <f>Company</f>
        <v>AB Electrolux</v>
      </c>
    </row>
    <row r="2" spans="1:5" ht="12.75">
      <c r="A2" s="69"/>
      <c r="B2" s="32" t="s">
        <v>28</v>
      </c>
      <c r="C2" s="33"/>
      <c r="D2" s="35">
        <f>A1</f>
        <v>44196</v>
      </c>
      <c r="E2" s="36">
        <f>+A1</f>
        <v>44196</v>
      </c>
    </row>
    <row r="3" spans="1:5" ht="12.75">
      <c r="A3" s="69"/>
      <c r="B3" s="32" t="s">
        <v>29</v>
      </c>
      <c r="C3" s="33" t="s">
        <v>30</v>
      </c>
      <c r="D3" s="37" t="s">
        <v>31</v>
      </c>
      <c r="E3" s="37" t="s">
        <v>32</v>
      </c>
    </row>
    <row r="4" spans="1:5" ht="15">
      <c r="A4" s="66" t="s">
        <v>6</v>
      </c>
      <c r="B4" s="32" t="s">
        <v>33</v>
      </c>
      <c r="D4" s="24" t="s">
        <v>577</v>
      </c>
      <c r="E4" s="24" t="s">
        <v>631</v>
      </c>
    </row>
    <row r="5" spans="2:5" ht="12.75">
      <c r="B5" s="32" t="s">
        <v>35</v>
      </c>
      <c r="C5" s="33" t="s">
        <v>139</v>
      </c>
      <c r="D5" s="14"/>
      <c r="E5" s="14"/>
    </row>
    <row r="6" spans="1:15" s="44" customFormat="1" ht="12.75">
      <c r="A6" s="71" t="s">
        <v>7</v>
      </c>
      <c r="B6" s="41" t="s">
        <v>34</v>
      </c>
      <c r="C6" s="38" t="s">
        <v>139</v>
      </c>
      <c r="D6" s="53" t="s">
        <v>178</v>
      </c>
      <c r="E6" s="53" t="s">
        <v>178</v>
      </c>
      <c r="F6" s="44">
        <v>2014</v>
      </c>
      <c r="G6" s="44">
        <v>2015</v>
      </c>
      <c r="H6" s="44">
        <v>2016</v>
      </c>
      <c r="I6" s="44">
        <v>2017</v>
      </c>
      <c r="J6" s="44">
        <v>2018</v>
      </c>
      <c r="K6" s="44">
        <v>2019</v>
      </c>
      <c r="L6" s="44">
        <v>2020</v>
      </c>
      <c r="M6" s="51">
        <v>2021</v>
      </c>
      <c r="N6" s="51">
        <v>2022</v>
      </c>
      <c r="O6" s="51">
        <v>2023</v>
      </c>
    </row>
    <row r="7" spans="1:5" s="13" customFormat="1" ht="12.75">
      <c r="A7" s="65" t="s">
        <v>177</v>
      </c>
      <c r="B7" s="80"/>
      <c r="C7" s="81"/>
      <c r="D7" s="82" t="s">
        <v>163</v>
      </c>
      <c r="E7" s="82" t="s">
        <v>163</v>
      </c>
    </row>
    <row r="8" spans="1:15" ht="12.75">
      <c r="A8" s="66" t="s">
        <v>8</v>
      </c>
      <c r="B8" s="66"/>
      <c r="C8" s="66"/>
      <c r="D8" s="18" t="s">
        <v>120</v>
      </c>
      <c r="E8" s="18" t="s">
        <v>120</v>
      </c>
      <c r="F8" s="7">
        <v>6045</v>
      </c>
      <c r="G8" s="7">
        <v>4704</v>
      </c>
      <c r="H8" s="7">
        <v>8837</v>
      </c>
      <c r="I8" s="7">
        <v>9757</v>
      </c>
      <c r="J8" s="7">
        <v>9046</v>
      </c>
      <c r="K8" s="7">
        <v>8971</v>
      </c>
      <c r="L8" s="7">
        <v>9079</v>
      </c>
      <c r="M8" s="20">
        <v>10234.690107900034</v>
      </c>
      <c r="N8" s="7">
        <v>3748.3219920999973</v>
      </c>
      <c r="O8" s="7">
        <v>3406.1149322000047</v>
      </c>
    </row>
    <row r="9" spans="1:15" ht="12.75">
      <c r="A9" s="66" t="s">
        <v>8</v>
      </c>
      <c r="B9" s="66"/>
      <c r="C9" s="66"/>
      <c r="D9" s="18" t="s">
        <v>121</v>
      </c>
      <c r="E9" s="18" t="s">
        <v>121</v>
      </c>
      <c r="F9" s="7">
        <v>1777</v>
      </c>
      <c r="G9" s="7">
        <v>3563</v>
      </c>
      <c r="H9" s="7">
        <v>1328</v>
      </c>
      <c r="I9" s="7">
        <v>267</v>
      </c>
      <c r="J9" s="7">
        <v>-1000</v>
      </c>
      <c r="K9" s="7">
        <v>-357</v>
      </c>
      <c r="L9" s="7">
        <v>2852</v>
      </c>
      <c r="M9" s="20">
        <v>-3175.3527190999957</v>
      </c>
      <c r="N9" s="7">
        <v>-3604.715889800001</v>
      </c>
      <c r="O9" s="7">
        <v>596.8852648</v>
      </c>
    </row>
    <row r="10" spans="1:15" ht="12.75">
      <c r="A10" s="66" t="s">
        <v>8</v>
      </c>
      <c r="B10" s="214" t="s">
        <v>237</v>
      </c>
      <c r="D10" s="18" t="s">
        <v>17</v>
      </c>
      <c r="E10" s="18" t="s">
        <v>17</v>
      </c>
      <c r="F10" s="7">
        <v>7822</v>
      </c>
      <c r="G10" s="7">
        <v>8267</v>
      </c>
      <c r="H10" s="7">
        <v>10165</v>
      </c>
      <c r="I10" s="7">
        <v>10024</v>
      </c>
      <c r="J10" s="7">
        <v>8046</v>
      </c>
      <c r="K10" s="7">
        <v>8434</v>
      </c>
      <c r="L10" s="7">
        <v>11932</v>
      </c>
      <c r="M10" s="20">
        <v>7059.337388800078</v>
      </c>
      <c r="N10" s="7">
        <v>143.60610229995171</v>
      </c>
      <c r="O10" s="7">
        <v>4003.0001969999958</v>
      </c>
    </row>
    <row r="11" spans="1:15" ht="12.75">
      <c r="A11" s="66" t="s">
        <v>8</v>
      </c>
      <c r="B11" s="66"/>
      <c r="D11" s="18" t="s">
        <v>19</v>
      </c>
      <c r="E11" s="18" t="s">
        <v>19</v>
      </c>
      <c r="F11" s="7">
        <v>-3759</v>
      </c>
      <c r="G11" s="7">
        <v>-3403</v>
      </c>
      <c r="H11" s="7">
        <v>-2557</v>
      </c>
      <c r="I11" s="7">
        <v>-8200</v>
      </c>
      <c r="J11" s="7">
        <v>-6506</v>
      </c>
      <c r="K11" s="7">
        <v>-7683</v>
      </c>
      <c r="L11" s="7">
        <v>-5115</v>
      </c>
      <c r="M11" s="20">
        <v>-6815.4955451999995</v>
      </c>
      <c r="N11" s="7">
        <v>-3065.4573404000007</v>
      </c>
      <c r="O11" s="7">
        <v>-4357.8412628999995</v>
      </c>
    </row>
    <row r="12" spans="1:15" ht="12.75">
      <c r="A12" s="66" t="s">
        <v>8</v>
      </c>
      <c r="B12" s="66"/>
      <c r="D12" s="18" t="s">
        <v>225</v>
      </c>
      <c r="E12" s="18" t="s">
        <v>225</v>
      </c>
      <c r="F12" s="7">
        <v>-3006</v>
      </c>
      <c r="G12" s="7">
        <v>-3027</v>
      </c>
      <c r="H12" s="7">
        <v>-2830</v>
      </c>
      <c r="I12" s="7">
        <v>-3892</v>
      </c>
      <c r="J12" s="7">
        <v>-4650</v>
      </c>
      <c r="K12" s="7">
        <v>-5562</v>
      </c>
      <c r="L12" s="7">
        <v>-4325</v>
      </c>
      <c r="M12" s="20">
        <v>-4846.731645999999</v>
      </c>
      <c r="N12" s="7">
        <v>-2498.0965902</v>
      </c>
      <c r="O12" s="7">
        <v>-4068.8849005</v>
      </c>
    </row>
    <row r="13" spans="1:15" ht="12.75">
      <c r="A13" s="66" t="s">
        <v>8</v>
      </c>
      <c r="B13" s="85" t="s">
        <v>11</v>
      </c>
      <c r="D13" s="18" t="s">
        <v>20</v>
      </c>
      <c r="E13" s="18" t="s">
        <v>20</v>
      </c>
      <c r="F13" s="7">
        <v>4063</v>
      </c>
      <c r="G13" s="7">
        <v>4864</v>
      </c>
      <c r="H13" s="7">
        <v>7608</v>
      </c>
      <c r="I13" s="7">
        <v>1824</v>
      </c>
      <c r="J13" s="7">
        <v>1540</v>
      </c>
      <c r="K13" s="7">
        <v>751</v>
      </c>
      <c r="L13" s="7">
        <v>6816</v>
      </c>
      <c r="M13" s="20">
        <v>243.8418436000618</v>
      </c>
      <c r="N13" s="7">
        <v>-2921.851238100024</v>
      </c>
      <c r="O13" s="7">
        <v>-354.8410658999954</v>
      </c>
    </row>
    <row r="14" spans="1:15" ht="12.75">
      <c r="A14" s="66" t="s">
        <v>8</v>
      </c>
      <c r="B14" s="85" t="s">
        <v>11</v>
      </c>
      <c r="D14" s="18" t="s">
        <v>122</v>
      </c>
      <c r="E14" s="18" t="s">
        <v>122</v>
      </c>
      <c r="F14" s="7">
        <v>-1861</v>
      </c>
      <c r="G14" s="7">
        <v>-1870</v>
      </c>
      <c r="H14" s="7">
        <v>-1868</v>
      </c>
      <c r="I14" s="7">
        <v>-2155</v>
      </c>
      <c r="J14" s="7">
        <v>-2385</v>
      </c>
      <c r="K14" s="7">
        <v>-2443</v>
      </c>
      <c r="L14" s="7">
        <v>-2012</v>
      </c>
      <c r="M14" s="20">
        <v>-8079</v>
      </c>
      <c r="N14" s="20">
        <v>-4659</v>
      </c>
      <c r="O14" s="20">
        <v>0</v>
      </c>
    </row>
    <row r="15" spans="1:15" s="17" customFormat="1" ht="12.75">
      <c r="A15" s="66" t="s">
        <v>8</v>
      </c>
      <c r="B15" s="85" t="s">
        <v>11</v>
      </c>
      <c r="C15" s="66" t="s">
        <v>168</v>
      </c>
      <c r="D15" s="18" t="s">
        <v>226</v>
      </c>
      <c r="E15" s="18" t="s">
        <v>226</v>
      </c>
      <c r="F15" s="9">
        <v>2.680506139482625</v>
      </c>
      <c r="G15" s="9">
        <v>2.450793856417647</v>
      </c>
      <c r="H15" s="9">
        <v>2.3370467326765376</v>
      </c>
      <c r="I15" s="9">
        <v>3.1885957725708667</v>
      </c>
      <c r="J15" s="9">
        <v>3.7</v>
      </c>
      <c r="K15" s="9">
        <f>-K12/128261.838*100</f>
        <v>4.33644183393037</v>
      </c>
      <c r="L15" s="9">
        <f>-L12/+'Net_sales_and_income-Y'!L8*100</f>
        <v>3.729734391169369</v>
      </c>
      <c r="M15" s="239">
        <v>3.9</v>
      </c>
      <c r="N15" s="9">
        <v>2.5</v>
      </c>
      <c r="O15" s="9">
        <v>3</v>
      </c>
    </row>
    <row r="16" ht="12.75">
      <c r="A16" s="66" t="s">
        <v>10</v>
      </c>
    </row>
    <row r="17" spans="1:5" ht="12.75">
      <c r="A17" s="66" t="s">
        <v>16</v>
      </c>
      <c r="D17" s="18" t="s">
        <v>585</v>
      </c>
      <c r="E17" s="18" t="s">
        <v>585</v>
      </c>
    </row>
    <row r="18" ht="12.75">
      <c r="A18" s="66" t="s">
        <v>10</v>
      </c>
    </row>
    <row r="19" spans="1:12" ht="92.25">
      <c r="A19" s="66" t="s">
        <v>615</v>
      </c>
      <c r="E19" s="61" t="s">
        <v>616</v>
      </c>
      <c r="F19" s="55"/>
      <c r="G19" s="55"/>
      <c r="H19" s="55"/>
      <c r="I19" s="55"/>
      <c r="J19" s="55"/>
      <c r="K19" s="55"/>
      <c r="L19" s="55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3" r:id="rId1"/>
  <headerFooter alignWithMargins="0">
    <oddHeader>&amp;L&amp;D/&amp;F</oddHeader>
    <oddFooter>&amp;L&amp;"Calibri"&amp;11&amp;K000000&amp;"Calibri"&amp;11&amp;K000000
&amp;1#&amp;"Calibri"&amp;8&amp;K000000 Classified as Internal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26"/>
  <sheetViews>
    <sheetView zoomScale="90" zoomScaleNormal="90" zoomScalePageLayoutView="0" workbookViewId="0" topLeftCell="E5">
      <selection activeCell="S49" sqref="S49"/>
    </sheetView>
  </sheetViews>
  <sheetFormatPr defaultColWidth="9.140625" defaultRowHeight="12.75"/>
  <cols>
    <col min="1" max="1" width="11.28125" style="66" bestFit="1" customWidth="1"/>
    <col min="2" max="2" width="12.28125" style="0" bestFit="1" customWidth="1"/>
    <col min="3" max="3" width="11.28125" style="0" bestFit="1" customWidth="1"/>
    <col min="4" max="4" width="46.28125" style="0" hidden="1" customWidth="1"/>
    <col min="5" max="5" width="74.28125" style="0" customWidth="1"/>
  </cols>
  <sheetData>
    <row r="1" spans="1:5" ht="17.25">
      <c r="A1" s="68">
        <v>44196</v>
      </c>
      <c r="B1" s="32" t="s">
        <v>26</v>
      </c>
      <c r="C1" s="33"/>
      <c r="D1" s="34" t="str">
        <f>Company</f>
        <v>AB Electrolux</v>
      </c>
      <c r="E1" s="34" t="str">
        <f>Company</f>
        <v>AB Electrolux</v>
      </c>
    </row>
    <row r="2" spans="1:5" ht="12.75">
      <c r="A2" s="69"/>
      <c r="B2" s="32" t="s">
        <v>28</v>
      </c>
      <c r="C2" s="33"/>
      <c r="D2" s="35">
        <f>A1</f>
        <v>44196</v>
      </c>
      <c r="E2" s="36">
        <f>+A1</f>
        <v>44196</v>
      </c>
    </row>
    <row r="3" spans="1:5" ht="12.75">
      <c r="A3" s="69"/>
      <c r="B3" s="32" t="s">
        <v>29</v>
      </c>
      <c r="C3" s="33" t="s">
        <v>30</v>
      </c>
      <c r="D3" s="37" t="s">
        <v>31</v>
      </c>
      <c r="E3" s="37" t="s">
        <v>32</v>
      </c>
    </row>
    <row r="4" spans="1:5" ht="12.75">
      <c r="A4" s="66" t="s">
        <v>6</v>
      </c>
      <c r="B4" s="32" t="s">
        <v>33</v>
      </c>
      <c r="C4" s="16"/>
      <c r="D4" s="52" t="s">
        <v>199</v>
      </c>
      <c r="E4" s="52" t="s">
        <v>199</v>
      </c>
    </row>
    <row r="5" spans="2:5" ht="12.75">
      <c r="B5" s="32" t="s">
        <v>35</v>
      </c>
      <c r="C5" s="38" t="s">
        <v>139</v>
      </c>
      <c r="D5" s="43"/>
      <c r="E5" s="43"/>
    </row>
    <row r="6" spans="1:13" ht="15">
      <c r="A6" s="67" t="s">
        <v>7</v>
      </c>
      <c r="B6" s="41" t="s">
        <v>34</v>
      </c>
      <c r="C6" s="38" t="s">
        <v>139</v>
      </c>
      <c r="D6" s="50" t="s">
        <v>138</v>
      </c>
      <c r="E6" s="50" t="s">
        <v>138</v>
      </c>
      <c r="F6" s="30">
        <v>2016</v>
      </c>
      <c r="G6" s="30" t="s">
        <v>205</v>
      </c>
      <c r="H6" s="30">
        <v>2018</v>
      </c>
      <c r="I6" s="30">
        <v>2019</v>
      </c>
      <c r="J6" s="30">
        <v>2020</v>
      </c>
      <c r="K6" s="51">
        <v>2021</v>
      </c>
      <c r="L6" s="51">
        <v>2022</v>
      </c>
      <c r="M6" s="51">
        <v>2023</v>
      </c>
    </row>
    <row r="7" spans="1:5" s="13" customFormat="1" ht="12.75">
      <c r="A7" s="65" t="s">
        <v>177</v>
      </c>
      <c r="B7" s="65"/>
      <c r="C7" s="65"/>
      <c r="D7" s="13" t="s">
        <v>3</v>
      </c>
      <c r="E7" s="13" t="s">
        <v>3</v>
      </c>
    </row>
    <row r="8" spans="1:13" ht="12.75">
      <c r="A8" s="66" t="s">
        <v>8</v>
      </c>
      <c r="B8" s="85" t="s">
        <v>11</v>
      </c>
      <c r="C8" s="66"/>
      <c r="D8" s="18" t="s">
        <v>116</v>
      </c>
      <c r="E8" s="18" t="s">
        <v>116</v>
      </c>
      <c r="F8" s="1">
        <v>39097</v>
      </c>
      <c r="G8" s="1">
        <v>39231</v>
      </c>
      <c r="H8" s="1">
        <v>43321</v>
      </c>
      <c r="I8" s="1">
        <v>45420</v>
      </c>
      <c r="J8" s="1">
        <v>46038</v>
      </c>
      <c r="K8" s="1">
        <v>49384.41795870001</v>
      </c>
      <c r="L8" s="1">
        <v>32748.524113299994</v>
      </c>
      <c r="M8" s="1">
        <v>45349.139650799996</v>
      </c>
    </row>
    <row r="9" spans="1:13" ht="12.75">
      <c r="A9" s="66" t="s">
        <v>8</v>
      </c>
      <c r="B9" s="85" t="s">
        <v>11</v>
      </c>
      <c r="C9" s="66" t="s">
        <v>168</v>
      </c>
      <c r="D9" s="18" t="s">
        <v>172</v>
      </c>
      <c r="E9" s="18" t="s">
        <v>172</v>
      </c>
      <c r="F9" s="2"/>
      <c r="G9" s="2"/>
      <c r="H9" s="2">
        <v>4.7</v>
      </c>
      <c r="I9" s="2">
        <v>1.7</v>
      </c>
      <c r="J9" s="2">
        <v>3.286135</v>
      </c>
      <c r="K9" s="2">
        <v>10.644244089178457</v>
      </c>
      <c r="L9" s="2">
        <v>-9.11</v>
      </c>
      <c r="M9" s="2">
        <v>-7.83</v>
      </c>
    </row>
    <row r="10" spans="1:13" ht="12.75">
      <c r="A10" s="66" t="s">
        <v>8</v>
      </c>
      <c r="B10" s="85" t="s">
        <v>11</v>
      </c>
      <c r="C10" s="66" t="s">
        <v>168</v>
      </c>
      <c r="D10" s="18" t="s">
        <v>173</v>
      </c>
      <c r="E10" s="18" t="s">
        <v>173</v>
      </c>
      <c r="F10" s="117"/>
      <c r="G10" s="117"/>
      <c r="H10" s="117">
        <v>0.7</v>
      </c>
      <c r="I10" s="117">
        <v>0.1</v>
      </c>
      <c r="J10" s="117">
        <v>0</v>
      </c>
      <c r="K10" s="117">
        <v>0.11607532665714194</v>
      </c>
      <c r="L10" s="117">
        <v>-1.36</v>
      </c>
      <c r="M10" s="117">
        <v>-0.98</v>
      </c>
    </row>
    <row r="11" spans="1:13" ht="12.75">
      <c r="A11" s="66" t="s">
        <v>8</v>
      </c>
      <c r="B11" s="85" t="s">
        <v>11</v>
      </c>
      <c r="C11" s="66"/>
      <c r="D11" s="18" t="s">
        <v>118</v>
      </c>
      <c r="E11" s="18" t="s">
        <v>118</v>
      </c>
      <c r="F11" s="1">
        <v>2794</v>
      </c>
      <c r="G11" s="1">
        <v>2772</v>
      </c>
      <c r="H11" s="1">
        <v>2128</v>
      </c>
      <c r="I11" s="1">
        <v>2493</v>
      </c>
      <c r="J11" s="1">
        <v>3643</v>
      </c>
      <c r="K11" s="1">
        <v>4002.0731877000017</v>
      </c>
      <c r="L11" s="1">
        <v>95.4481804999848</v>
      </c>
      <c r="M11" s="1">
        <v>-1601.5131193999991</v>
      </c>
    </row>
    <row r="12" spans="1:13" ht="12.75">
      <c r="A12" s="66" t="s">
        <v>8</v>
      </c>
      <c r="B12" s="85" t="s">
        <v>11</v>
      </c>
      <c r="C12" s="66" t="s">
        <v>168</v>
      </c>
      <c r="D12" s="18" t="s">
        <v>169</v>
      </c>
      <c r="E12" s="18" t="s">
        <v>169</v>
      </c>
      <c r="F12" s="2">
        <v>7.1</v>
      </c>
      <c r="G12" s="2">
        <f>G11/G8*100</f>
        <v>7.065840789171829</v>
      </c>
      <c r="H12" s="2">
        <v>4.9</v>
      </c>
      <c r="I12" s="2">
        <v>5.5</v>
      </c>
      <c r="J12" s="2">
        <v>7.9</v>
      </c>
      <c r="K12" s="2">
        <v>8.103918914356605</v>
      </c>
      <c r="L12" s="2">
        <v>0.2914579605778877</v>
      </c>
      <c r="M12" s="2">
        <v>-3.5315181979902293</v>
      </c>
    </row>
    <row r="13" spans="1:13" ht="15">
      <c r="A13" s="66" t="s">
        <v>8</v>
      </c>
      <c r="B13" s="85" t="s">
        <v>11</v>
      </c>
      <c r="C13" s="66"/>
      <c r="D13" s="18" t="s">
        <v>211</v>
      </c>
      <c r="E13" s="18" t="s">
        <v>211</v>
      </c>
      <c r="F13" s="1">
        <v>2794</v>
      </c>
      <c r="G13" s="1">
        <v>2772</v>
      </c>
      <c r="H13" s="1">
        <f>2128--747</f>
        <v>2875</v>
      </c>
      <c r="I13" s="1">
        <v>3245</v>
      </c>
      <c r="J13" s="1">
        <v>3643</v>
      </c>
      <c r="K13" s="1">
        <v>4002.0731877000017</v>
      </c>
      <c r="L13" s="1">
        <v>1457</v>
      </c>
      <c r="M13" s="1">
        <v>1104</v>
      </c>
    </row>
    <row r="14" spans="1:13" ht="15">
      <c r="A14" s="66" t="s">
        <v>8</v>
      </c>
      <c r="B14" s="214" t="s">
        <v>237</v>
      </c>
      <c r="C14" s="66" t="s">
        <v>168</v>
      </c>
      <c r="D14" s="86" t="s">
        <v>206</v>
      </c>
      <c r="E14" s="86" t="s">
        <v>206</v>
      </c>
      <c r="F14" s="2">
        <f>F13/F8*100</f>
        <v>7.146328362789984</v>
      </c>
      <c r="G14" s="2">
        <f>G13/G8*100</f>
        <v>7.065840789171829</v>
      </c>
      <c r="H14" s="2">
        <f>H13/H8*100</f>
        <v>6.636504235820964</v>
      </c>
      <c r="I14" s="2">
        <v>7.1</v>
      </c>
      <c r="J14" s="2">
        <v>7.9</v>
      </c>
      <c r="K14" s="2">
        <v>8.103918914356598</v>
      </c>
      <c r="L14" s="2">
        <v>3.0702091398728237</v>
      </c>
      <c r="M14" s="2">
        <v>2.4340172472942014</v>
      </c>
    </row>
    <row r="15" spans="1:13" ht="12.75">
      <c r="A15" s="66" t="s">
        <v>8</v>
      </c>
      <c r="B15" s="85" t="s">
        <v>11</v>
      </c>
      <c r="C15" s="66"/>
      <c r="D15" s="18" t="s">
        <v>123</v>
      </c>
      <c r="E15" s="18" t="s">
        <v>123</v>
      </c>
      <c r="F15" s="1">
        <v>110</v>
      </c>
      <c r="G15" s="1">
        <v>645</v>
      </c>
      <c r="H15" s="1">
        <v>510</v>
      </c>
      <c r="I15" s="1">
        <v>1429</v>
      </c>
      <c r="J15" s="1">
        <v>1406</v>
      </c>
      <c r="K15" s="1">
        <v>1749.075398699999</v>
      </c>
      <c r="L15" s="1">
        <v>7724.621188000005</v>
      </c>
      <c r="M15" s="1">
        <v>3782.8919734999945</v>
      </c>
    </row>
    <row r="16" spans="1:13" ht="12.75">
      <c r="A16" s="66" t="s">
        <v>8</v>
      </c>
      <c r="B16" s="85" t="s">
        <v>11</v>
      </c>
      <c r="C16" s="66" t="s">
        <v>168</v>
      </c>
      <c r="D16" s="18" t="s">
        <v>176</v>
      </c>
      <c r="E16" s="18" t="s">
        <v>176</v>
      </c>
      <c r="F16" s="2">
        <v>294.2</v>
      </c>
      <c r="G16" s="2">
        <v>248.1</v>
      </c>
      <c r="H16" s="2">
        <v>177.1</v>
      </c>
      <c r="I16" s="2">
        <v>113.5</v>
      </c>
      <c r="J16" s="2">
        <v>153.8</v>
      </c>
      <c r="K16" s="2">
        <v>224.4</v>
      </c>
      <c r="L16" s="2">
        <v>15.06</v>
      </c>
      <c r="M16" s="2">
        <v>-23.2</v>
      </c>
    </row>
    <row r="17" spans="1:13" ht="12.75">
      <c r="A17" s="66" t="s">
        <v>8</v>
      </c>
      <c r="B17" s="85" t="s">
        <v>11</v>
      </c>
      <c r="C17" s="66"/>
      <c r="D17" s="18" t="s">
        <v>149</v>
      </c>
      <c r="E17" s="18" t="s">
        <v>149</v>
      </c>
      <c r="F17" s="1">
        <v>1447</v>
      </c>
      <c r="G17" s="1">
        <v>1482</v>
      </c>
      <c r="H17" s="1">
        <v>1741</v>
      </c>
      <c r="I17" s="1">
        <v>2399</v>
      </c>
      <c r="J17" s="1">
        <v>2155</v>
      </c>
      <c r="K17" s="1">
        <v>2786.7</v>
      </c>
      <c r="L17" s="1">
        <v>3310</v>
      </c>
      <c r="M17" s="1">
        <v>2491</v>
      </c>
    </row>
    <row r="18" spans="1:13" ht="13.5">
      <c r="A18" s="66" t="s">
        <v>8</v>
      </c>
      <c r="B18" s="85" t="s">
        <v>11</v>
      </c>
      <c r="C18" s="66" t="s">
        <v>181</v>
      </c>
      <c r="D18" s="18" t="s">
        <v>21</v>
      </c>
      <c r="E18" s="18" t="s">
        <v>21</v>
      </c>
      <c r="F18" s="1">
        <v>17910</v>
      </c>
      <c r="G18" s="1">
        <v>18084</v>
      </c>
      <c r="H18" s="1">
        <v>18325</v>
      </c>
      <c r="I18" s="1">
        <v>17943</v>
      </c>
      <c r="J18" s="1">
        <v>17661</v>
      </c>
      <c r="K18" s="229">
        <v>17914.456376923077</v>
      </c>
      <c r="L18" s="1">
        <v>18250</v>
      </c>
      <c r="M18" s="1">
        <v>16393</v>
      </c>
    </row>
    <row r="19" spans="1:3" ht="12.75">
      <c r="A19" s="66" t="s">
        <v>10</v>
      </c>
      <c r="B19" s="66"/>
      <c r="C19" s="66"/>
    </row>
    <row r="20" spans="1:5" ht="12.75">
      <c r="A20" s="66" t="s">
        <v>16</v>
      </c>
      <c r="D20" s="16" t="s">
        <v>207</v>
      </c>
      <c r="E20" s="16" t="s">
        <v>207</v>
      </c>
    </row>
    <row r="21" spans="1:5" ht="12.75">
      <c r="A21" s="66" t="s">
        <v>16</v>
      </c>
      <c r="D21" s="18" t="s">
        <v>210</v>
      </c>
      <c r="E21" s="18" t="s">
        <v>210</v>
      </c>
    </row>
    <row r="22" spans="1:5" ht="12.75">
      <c r="A22" s="66" t="s">
        <v>10</v>
      </c>
      <c r="B22" s="16"/>
      <c r="C22" s="16"/>
      <c r="D22" s="16"/>
      <c r="E22" s="16"/>
    </row>
    <row r="23" spans="1:11" s="16" customFormat="1" ht="78.75">
      <c r="A23" s="66" t="s">
        <v>615</v>
      </c>
      <c r="E23" s="61" t="s">
        <v>616</v>
      </c>
      <c r="F23" s="55"/>
      <c r="G23" s="55"/>
      <c r="H23" s="55"/>
      <c r="I23" s="55"/>
      <c r="J23" s="55"/>
      <c r="K23" s="55"/>
    </row>
    <row r="26" spans="9:11" ht="14.25">
      <c r="I26" s="18"/>
      <c r="K26" s="238" t="s">
        <v>637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  <headerFooter alignWithMargins="0">
    <oddHeader>&amp;L&amp;D/&amp;F</oddHeader>
    <oddFooter>&amp;L&amp;"Calibri"&amp;11&amp;K000000&amp;"Calibri"&amp;11&amp;K000000
&amp;1#&amp;"Calibri"&amp;8&amp;K000000 Classified as Internal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23"/>
  <sheetViews>
    <sheetView zoomScalePageLayoutView="0" workbookViewId="0" topLeftCell="A1">
      <selection activeCell="M6" sqref="M6:M18"/>
    </sheetView>
  </sheetViews>
  <sheetFormatPr defaultColWidth="9.140625" defaultRowHeight="12.75"/>
  <cols>
    <col min="1" max="1" width="11.28125" style="66" bestFit="1" customWidth="1"/>
    <col min="2" max="2" width="12.28125" style="0" customWidth="1"/>
    <col min="3" max="3" width="11.28125" style="0" customWidth="1"/>
    <col min="4" max="4" width="31.00390625" style="0" hidden="1" customWidth="1"/>
    <col min="5" max="5" width="39.00390625" style="0" customWidth="1"/>
  </cols>
  <sheetData>
    <row r="1" spans="1:5" ht="17.25">
      <c r="A1" s="68">
        <v>44196</v>
      </c>
      <c r="B1" s="32" t="s">
        <v>26</v>
      </c>
      <c r="C1" s="33"/>
      <c r="D1" s="34" t="str">
        <f>Company</f>
        <v>AB Electrolux</v>
      </c>
      <c r="E1" s="34" t="str">
        <f>Company</f>
        <v>AB Electrolux</v>
      </c>
    </row>
    <row r="2" spans="1:5" ht="12.75">
      <c r="A2" s="69"/>
      <c r="B2" s="32" t="s">
        <v>28</v>
      </c>
      <c r="C2" s="33"/>
      <c r="D2" s="35">
        <f>A1</f>
        <v>44196</v>
      </c>
      <c r="E2" s="36">
        <f>+A1</f>
        <v>44196</v>
      </c>
    </row>
    <row r="3" spans="1:5" ht="12.75">
      <c r="A3" s="69"/>
      <c r="B3" s="32" t="s">
        <v>29</v>
      </c>
      <c r="C3" s="33" t="s">
        <v>30</v>
      </c>
      <c r="D3" s="37" t="s">
        <v>31</v>
      </c>
      <c r="E3" s="37" t="s">
        <v>32</v>
      </c>
    </row>
    <row r="4" spans="1:5" ht="12.75">
      <c r="A4" s="66" t="s">
        <v>6</v>
      </c>
      <c r="B4" s="32" t="s">
        <v>33</v>
      </c>
      <c r="C4" s="16"/>
      <c r="D4" s="52" t="s">
        <v>200</v>
      </c>
      <c r="E4" s="52" t="s">
        <v>200</v>
      </c>
    </row>
    <row r="5" spans="2:5" ht="12.75">
      <c r="B5" s="32" t="s">
        <v>35</v>
      </c>
      <c r="C5" s="38" t="s">
        <v>139</v>
      </c>
      <c r="D5" s="43"/>
      <c r="E5" s="43"/>
    </row>
    <row r="6" spans="1:13" ht="15">
      <c r="A6" s="67" t="s">
        <v>7</v>
      </c>
      <c r="B6" s="41" t="s">
        <v>34</v>
      </c>
      <c r="C6" s="38" t="s">
        <v>139</v>
      </c>
      <c r="D6" s="50" t="s">
        <v>138</v>
      </c>
      <c r="E6" s="50" t="s">
        <v>138</v>
      </c>
      <c r="F6" s="30">
        <v>2016</v>
      </c>
      <c r="G6" s="30" t="s">
        <v>205</v>
      </c>
      <c r="H6" s="30">
        <v>2018</v>
      </c>
      <c r="I6" s="30">
        <v>2019</v>
      </c>
      <c r="J6" s="30">
        <v>2020</v>
      </c>
      <c r="K6" s="51">
        <v>2021</v>
      </c>
      <c r="L6" s="30">
        <v>2022</v>
      </c>
      <c r="M6" s="30">
        <v>2023</v>
      </c>
    </row>
    <row r="7" spans="1:5" s="13" customFormat="1" ht="12.75">
      <c r="A7" s="65" t="s">
        <v>177</v>
      </c>
      <c r="B7" s="65"/>
      <c r="C7" s="65"/>
      <c r="D7" s="13" t="s">
        <v>3</v>
      </c>
      <c r="E7" s="13" t="s">
        <v>3</v>
      </c>
    </row>
    <row r="8" spans="1:13" ht="12.75">
      <c r="A8" s="66" t="s">
        <v>8</v>
      </c>
      <c r="B8" s="85" t="s">
        <v>11</v>
      </c>
      <c r="C8" s="66"/>
      <c r="D8" s="18" t="s">
        <v>116</v>
      </c>
      <c r="E8" s="18" t="s">
        <v>116</v>
      </c>
      <c r="F8" s="1">
        <v>44914</v>
      </c>
      <c r="G8" s="1">
        <v>42083</v>
      </c>
      <c r="H8" s="1">
        <v>39804</v>
      </c>
      <c r="I8" s="1">
        <v>38954</v>
      </c>
      <c r="J8" s="1">
        <v>38219</v>
      </c>
      <c r="K8" s="1">
        <v>40467.769172700006</v>
      </c>
      <c r="L8" s="1">
        <v>34638.255479399995</v>
      </c>
      <c r="M8" s="1">
        <v>45072.3569832</v>
      </c>
    </row>
    <row r="9" spans="1:13" ht="12.75">
      <c r="A9" s="66" t="s">
        <v>8</v>
      </c>
      <c r="B9" s="85" t="s">
        <v>11</v>
      </c>
      <c r="C9" s="66" t="s">
        <v>168</v>
      </c>
      <c r="D9" s="18" t="s">
        <v>172</v>
      </c>
      <c r="E9" s="18" t="s">
        <v>172</v>
      </c>
      <c r="F9" s="2"/>
      <c r="G9" s="2"/>
      <c r="H9" s="2">
        <v>-6.3</v>
      </c>
      <c r="I9" s="2">
        <v>-8.7</v>
      </c>
      <c r="J9" s="2">
        <v>0.907214</v>
      </c>
      <c r="K9" s="2">
        <v>12.711485415554291</v>
      </c>
      <c r="L9" s="2">
        <v>-6.38</v>
      </c>
      <c r="M9" s="2">
        <v>-8.4</v>
      </c>
    </row>
    <row r="10" spans="1:13" ht="12.75">
      <c r="A10" s="66" t="s">
        <v>8</v>
      </c>
      <c r="B10" s="85" t="s">
        <v>11</v>
      </c>
      <c r="C10" s="66" t="s">
        <v>168</v>
      </c>
      <c r="D10" s="18" t="s">
        <v>173</v>
      </c>
      <c r="E10" s="18" t="s">
        <v>173</v>
      </c>
      <c r="F10" s="2"/>
      <c r="G10" s="2"/>
      <c r="H10" s="2">
        <v>-0.9</v>
      </c>
      <c r="I10" s="2">
        <v>-1</v>
      </c>
      <c r="J10" s="2">
        <v>0</v>
      </c>
      <c r="K10" s="2">
        <v>0</v>
      </c>
      <c r="L10" s="2">
        <v>0</v>
      </c>
      <c r="M10" s="2">
        <v>0</v>
      </c>
    </row>
    <row r="11" spans="1:13" ht="12.75">
      <c r="A11" s="66" t="s">
        <v>8</v>
      </c>
      <c r="B11" s="85" t="s">
        <v>11</v>
      </c>
      <c r="C11" s="66"/>
      <c r="D11" s="18" t="s">
        <v>118</v>
      </c>
      <c r="E11" s="18" t="s">
        <v>118</v>
      </c>
      <c r="F11" s="1">
        <v>2657</v>
      </c>
      <c r="G11" s="1">
        <v>2796</v>
      </c>
      <c r="H11" s="1">
        <v>1104</v>
      </c>
      <c r="I11" s="1">
        <v>-516</v>
      </c>
      <c r="J11" s="1">
        <v>1215</v>
      </c>
      <c r="K11" s="1">
        <v>688.3340506000098</v>
      </c>
      <c r="L11" s="1">
        <v>-1038.7924785999942</v>
      </c>
      <c r="M11" s="1">
        <v>-2340.761951999993</v>
      </c>
    </row>
    <row r="12" spans="1:13" ht="12.75">
      <c r="A12" s="66" t="s">
        <v>8</v>
      </c>
      <c r="B12" s="85" t="s">
        <v>11</v>
      </c>
      <c r="C12" s="66" t="s">
        <v>168</v>
      </c>
      <c r="D12" s="18" t="s">
        <v>169</v>
      </c>
      <c r="E12" s="18" t="s">
        <v>169</v>
      </c>
      <c r="F12" s="2">
        <v>5.9</v>
      </c>
      <c r="G12" s="2">
        <v>6.6</v>
      </c>
      <c r="H12" s="2">
        <v>2.8</v>
      </c>
      <c r="I12" s="2">
        <v>-1.3</v>
      </c>
      <c r="J12" s="2">
        <v>3.2</v>
      </c>
      <c r="K12" s="2">
        <v>1.700943898494822</v>
      </c>
      <c r="L12" s="2">
        <v>-2.9989745852466414</v>
      </c>
      <c r="M12" s="2">
        <v>-5.193342679799238</v>
      </c>
    </row>
    <row r="13" spans="1:13" ht="15">
      <c r="A13" s="66" t="s">
        <v>8</v>
      </c>
      <c r="B13" s="85" t="s">
        <v>11</v>
      </c>
      <c r="C13" s="66"/>
      <c r="D13" s="18" t="s">
        <v>211</v>
      </c>
      <c r="E13" s="18" t="s">
        <v>211</v>
      </c>
      <c r="F13" s="1">
        <v>2657</v>
      </c>
      <c r="G13" s="1">
        <v>2796</v>
      </c>
      <c r="H13" s="1">
        <f>1104--596</f>
        <v>1700</v>
      </c>
      <c r="I13" s="1">
        <v>555</v>
      </c>
      <c r="J13" s="1">
        <v>1215</v>
      </c>
      <c r="K13" s="1">
        <v>1415</v>
      </c>
      <c r="L13" s="1">
        <v>-2635</v>
      </c>
      <c r="M13" s="1">
        <v>-2488.9099520000186</v>
      </c>
    </row>
    <row r="14" spans="1:13" ht="15">
      <c r="A14" s="66" t="s">
        <v>8</v>
      </c>
      <c r="B14" s="214" t="s">
        <v>237</v>
      </c>
      <c r="C14" s="66" t="s">
        <v>168</v>
      </c>
      <c r="D14" s="86" t="s">
        <v>206</v>
      </c>
      <c r="E14" s="86" t="s">
        <v>206</v>
      </c>
      <c r="F14" s="2">
        <f>F13/F8*100</f>
        <v>5.9157501001914765</v>
      </c>
      <c r="G14" s="2">
        <f>G13/G8*100</f>
        <v>6.644013021885321</v>
      </c>
      <c r="H14" s="2">
        <f>H13/H8*100</f>
        <v>4.270927544970355</v>
      </c>
      <c r="I14" s="2">
        <v>1.4</v>
      </c>
      <c r="J14" s="2">
        <v>3.2</v>
      </c>
      <c r="K14" s="2">
        <v>3.497435315892832</v>
      </c>
      <c r="L14" s="2">
        <v>-2.9989745852466263</v>
      </c>
      <c r="M14" s="2">
        <v>-5.5220319472702375</v>
      </c>
    </row>
    <row r="15" spans="1:13" ht="12.75">
      <c r="A15" s="66" t="s">
        <v>8</v>
      </c>
      <c r="B15" s="85" t="s">
        <v>11</v>
      </c>
      <c r="C15" s="66"/>
      <c r="D15" s="18" t="s">
        <v>123</v>
      </c>
      <c r="E15" s="18" t="s">
        <v>123</v>
      </c>
      <c r="F15" s="1">
        <v>2579</v>
      </c>
      <c r="G15" s="1">
        <v>3134</v>
      </c>
      <c r="H15" s="1">
        <v>3802</v>
      </c>
      <c r="I15" s="1">
        <v>6496</v>
      </c>
      <c r="J15" s="1">
        <v>6086</v>
      </c>
      <c r="K15" s="1">
        <v>9376.337546000002</v>
      </c>
      <c r="L15" s="1">
        <v>14159.591575999999</v>
      </c>
      <c r="M15" s="1">
        <v>11593.34221</v>
      </c>
    </row>
    <row r="16" spans="1:13" ht="12.75">
      <c r="A16" s="66" t="s">
        <v>8</v>
      </c>
      <c r="B16" s="85" t="s">
        <v>11</v>
      </c>
      <c r="C16" s="66" t="s">
        <v>168</v>
      </c>
      <c r="D16" s="18" t="s">
        <v>176</v>
      </c>
      <c r="E16" s="18" t="s">
        <v>176</v>
      </c>
      <c r="F16" s="2">
        <v>72.7</v>
      </c>
      <c r="G16" s="2">
        <v>99.7</v>
      </c>
      <c r="H16" s="2">
        <v>29.3</v>
      </c>
      <c r="I16" s="2">
        <v>-8.3</v>
      </c>
      <c r="J16" s="2">
        <v>16.3</v>
      </c>
      <c r="K16" s="2">
        <v>8.7</v>
      </c>
      <c r="L16" s="2">
        <v>-20.46</v>
      </c>
      <c r="M16" s="2">
        <v>-18.2</v>
      </c>
    </row>
    <row r="17" spans="1:13" ht="12.75">
      <c r="A17" s="66" t="s">
        <v>8</v>
      </c>
      <c r="B17" s="85" t="s">
        <v>11</v>
      </c>
      <c r="C17" s="66"/>
      <c r="D17" s="18" t="s">
        <v>149</v>
      </c>
      <c r="E17" s="18" t="s">
        <v>149</v>
      </c>
      <c r="F17" s="1">
        <v>695</v>
      </c>
      <c r="G17" s="1">
        <v>1499</v>
      </c>
      <c r="H17" s="1">
        <v>2099</v>
      </c>
      <c r="I17" s="1">
        <v>2573</v>
      </c>
      <c r="J17" s="1">
        <v>1772</v>
      </c>
      <c r="K17" s="1">
        <v>1310.9</v>
      </c>
      <c r="L17" s="1">
        <v>1738</v>
      </c>
      <c r="M17" s="1">
        <v>1292</v>
      </c>
    </row>
    <row r="18" spans="1:13" ht="12.75">
      <c r="A18" s="66" t="s">
        <v>8</v>
      </c>
      <c r="B18" s="85" t="s">
        <v>11</v>
      </c>
      <c r="C18" s="66" t="s">
        <v>181</v>
      </c>
      <c r="D18" s="18" t="s">
        <v>21</v>
      </c>
      <c r="E18" s="18" t="s">
        <v>21</v>
      </c>
      <c r="F18" s="1">
        <v>15248</v>
      </c>
      <c r="G18" s="1">
        <v>14678</v>
      </c>
      <c r="H18" s="1">
        <v>13325</v>
      </c>
      <c r="I18" s="1">
        <v>11287</v>
      </c>
      <c r="J18" s="1">
        <v>11551.4</v>
      </c>
      <c r="K18" s="1">
        <v>13558.186292307693</v>
      </c>
      <c r="L18" s="1">
        <v>12995</v>
      </c>
      <c r="M18" s="1">
        <v>10887</v>
      </c>
    </row>
    <row r="19" spans="1:5" ht="12.75">
      <c r="A19" s="66" t="s">
        <v>10</v>
      </c>
      <c r="B19" s="66"/>
      <c r="C19" s="66"/>
      <c r="D19" s="18"/>
      <c r="E19" s="18"/>
    </row>
    <row r="20" spans="1:5" ht="12.75">
      <c r="A20" s="66" t="s">
        <v>16</v>
      </c>
      <c r="D20" s="16" t="s">
        <v>207</v>
      </c>
      <c r="E20" s="16" t="s">
        <v>207</v>
      </c>
    </row>
    <row r="21" spans="1:5" ht="12.75">
      <c r="A21" s="66" t="s">
        <v>16</v>
      </c>
      <c r="D21" s="18" t="s">
        <v>210</v>
      </c>
      <c r="E21" s="18" t="s">
        <v>210</v>
      </c>
    </row>
    <row r="22" spans="1:5" ht="12.75">
      <c r="A22" s="66" t="s">
        <v>10</v>
      </c>
      <c r="B22" s="16"/>
      <c r="C22" s="16"/>
      <c r="D22" s="16"/>
      <c r="E22" s="16"/>
    </row>
    <row r="23" spans="1:10" s="16" customFormat="1" ht="144.75">
      <c r="A23" s="66" t="s">
        <v>615</v>
      </c>
      <c r="E23" s="61" t="s">
        <v>616</v>
      </c>
      <c r="F23" s="55"/>
      <c r="G23" s="55"/>
      <c r="H23" s="55"/>
      <c r="I23" s="55"/>
      <c r="J23" s="1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&amp;L&amp;D/&amp;F</oddHeader>
    <oddFooter>&amp;L&amp;"Calibri"&amp;11&amp;K000000&amp;"Calibri"&amp;11&amp;K000000
&amp;1#&amp;"Calibri"&amp;8&amp;K000000 Classified as Internal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22"/>
  <sheetViews>
    <sheetView zoomScalePageLayoutView="0" workbookViewId="0" topLeftCell="C1">
      <selection activeCell="M6" sqref="M6:M18"/>
    </sheetView>
  </sheetViews>
  <sheetFormatPr defaultColWidth="9.140625" defaultRowHeight="12.75"/>
  <cols>
    <col min="1" max="1" width="11.28125" style="66" bestFit="1" customWidth="1"/>
    <col min="2" max="2" width="12.28125" style="0" bestFit="1" customWidth="1"/>
    <col min="3" max="3" width="11.28125" style="0" bestFit="1" customWidth="1"/>
    <col min="4" max="4" width="23.00390625" style="0" hidden="1" customWidth="1"/>
    <col min="5" max="5" width="40.00390625" style="0" customWidth="1"/>
  </cols>
  <sheetData>
    <row r="1" spans="1:5" ht="17.25">
      <c r="A1" s="68">
        <v>44196</v>
      </c>
      <c r="B1" s="32" t="s">
        <v>26</v>
      </c>
      <c r="C1" s="33"/>
      <c r="D1" s="34" t="str">
        <f>Company</f>
        <v>AB Electrolux</v>
      </c>
      <c r="E1" s="34" t="str">
        <f>Company</f>
        <v>AB Electrolux</v>
      </c>
    </row>
    <row r="2" spans="1:5" ht="12.75">
      <c r="A2" s="69"/>
      <c r="B2" s="32" t="s">
        <v>28</v>
      </c>
      <c r="C2" s="33"/>
      <c r="D2" s="35">
        <f>A1</f>
        <v>44196</v>
      </c>
      <c r="E2" s="36">
        <f>+A1</f>
        <v>44196</v>
      </c>
    </row>
    <row r="3" spans="1:5" ht="12.75">
      <c r="A3" s="69"/>
      <c r="B3" s="32" t="s">
        <v>29</v>
      </c>
      <c r="C3" s="33" t="s">
        <v>30</v>
      </c>
      <c r="D3" s="37" t="s">
        <v>31</v>
      </c>
      <c r="E3" s="37" t="s">
        <v>32</v>
      </c>
    </row>
    <row r="4" spans="1:5" ht="12.75">
      <c r="A4" s="66" t="s">
        <v>6</v>
      </c>
      <c r="B4" s="32" t="s">
        <v>33</v>
      </c>
      <c r="C4" s="16"/>
      <c r="D4" s="52" t="s">
        <v>201</v>
      </c>
      <c r="E4" s="52" t="s">
        <v>201</v>
      </c>
    </row>
    <row r="5" spans="2:5" ht="12.75">
      <c r="B5" s="32" t="s">
        <v>35</v>
      </c>
      <c r="C5" s="38" t="s">
        <v>139</v>
      </c>
      <c r="D5" s="43"/>
      <c r="E5" s="43"/>
    </row>
    <row r="6" spans="1:13" ht="12.75">
      <c r="A6" s="67" t="s">
        <v>7</v>
      </c>
      <c r="B6" s="41" t="s">
        <v>34</v>
      </c>
      <c r="C6" s="38" t="s">
        <v>139</v>
      </c>
      <c r="D6" s="50" t="s">
        <v>138</v>
      </c>
      <c r="E6" s="50" t="s">
        <v>138</v>
      </c>
      <c r="F6" s="30">
        <v>2016</v>
      </c>
      <c r="G6" s="30">
        <v>2017</v>
      </c>
      <c r="H6" s="30">
        <v>2018</v>
      </c>
      <c r="I6" s="30">
        <v>2019</v>
      </c>
      <c r="J6" s="30">
        <v>2020</v>
      </c>
      <c r="K6" s="51">
        <v>2021</v>
      </c>
      <c r="L6" s="51">
        <v>2022</v>
      </c>
      <c r="M6" s="51">
        <v>2023</v>
      </c>
    </row>
    <row r="7" spans="1:5" s="13" customFormat="1" ht="12.75">
      <c r="A7" s="65" t="s">
        <v>177</v>
      </c>
      <c r="B7" s="65"/>
      <c r="C7" s="65"/>
      <c r="D7" s="13" t="s">
        <v>3</v>
      </c>
      <c r="E7" s="13" t="s">
        <v>3</v>
      </c>
    </row>
    <row r="8" spans="1:13" ht="12.75">
      <c r="A8" s="66" t="s">
        <v>8</v>
      </c>
      <c r="B8" s="85" t="s">
        <v>11</v>
      </c>
      <c r="C8" s="66"/>
      <c r="D8" s="18" t="s">
        <v>116</v>
      </c>
      <c r="E8" s="18" t="s">
        <v>116</v>
      </c>
      <c r="F8" s="1">
        <v>16384</v>
      </c>
      <c r="G8" s="1">
        <v>18277</v>
      </c>
      <c r="H8" s="1">
        <v>17963</v>
      </c>
      <c r="I8" s="1">
        <v>19653</v>
      </c>
      <c r="J8" s="1">
        <v>16915</v>
      </c>
      <c r="K8" s="1">
        <v>19958.4673793</v>
      </c>
      <c r="L8" s="1">
        <v>20304.2475971</v>
      </c>
      <c r="M8" s="1">
        <v>28920.456357900002</v>
      </c>
    </row>
    <row r="9" spans="1:13" ht="12.75">
      <c r="A9" s="66" t="s">
        <v>8</v>
      </c>
      <c r="B9" s="85" t="s">
        <v>11</v>
      </c>
      <c r="C9" s="66" t="s">
        <v>168</v>
      </c>
      <c r="D9" s="18" t="s">
        <v>172</v>
      </c>
      <c r="E9" s="18" t="s">
        <v>172</v>
      </c>
      <c r="F9" s="2"/>
      <c r="G9" s="2"/>
      <c r="H9" s="2">
        <v>9.3</v>
      </c>
      <c r="I9" s="2">
        <v>10.9</v>
      </c>
      <c r="J9" s="2">
        <v>9.9937</v>
      </c>
      <c r="K9" s="2">
        <v>33.72820555956451</v>
      </c>
      <c r="L9" s="2">
        <v>10.38</v>
      </c>
      <c r="M9" s="2">
        <v>15.22</v>
      </c>
    </row>
    <row r="10" spans="1:13" ht="12.75">
      <c r="A10" s="66" t="s">
        <v>8</v>
      </c>
      <c r="B10" s="85" t="s">
        <v>11</v>
      </c>
      <c r="C10" s="66" t="s">
        <v>168</v>
      </c>
      <c r="D10" s="18" t="s">
        <v>173</v>
      </c>
      <c r="E10" s="18" t="s">
        <v>173</v>
      </c>
      <c r="F10" s="117"/>
      <c r="G10" s="117"/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</row>
    <row r="11" spans="1:13" ht="12.75">
      <c r="A11" s="66" t="s">
        <v>8</v>
      </c>
      <c r="B11" s="85" t="s">
        <v>11</v>
      </c>
      <c r="C11" s="66"/>
      <c r="D11" s="18" t="s">
        <v>118</v>
      </c>
      <c r="E11" s="18" t="s">
        <v>118</v>
      </c>
      <c r="F11" s="1">
        <v>-111</v>
      </c>
      <c r="G11" s="1">
        <v>483</v>
      </c>
      <c r="H11" s="1">
        <v>492</v>
      </c>
      <c r="I11" s="1">
        <v>1821</v>
      </c>
      <c r="J11" s="1">
        <v>666</v>
      </c>
      <c r="K11" s="1">
        <v>1336.2700397000006</v>
      </c>
      <c r="L11" s="1">
        <v>974.8484258999997</v>
      </c>
      <c r="M11" s="1">
        <v>1623.9453780000038</v>
      </c>
    </row>
    <row r="12" spans="1:13" ht="12.75">
      <c r="A12" s="66" t="s">
        <v>8</v>
      </c>
      <c r="B12" s="85" t="s">
        <v>11</v>
      </c>
      <c r="C12" s="66" t="s">
        <v>168</v>
      </c>
      <c r="D12" s="18" t="s">
        <v>169</v>
      </c>
      <c r="E12" s="18" t="s">
        <v>169</v>
      </c>
      <c r="F12" s="2">
        <v>-0.7</v>
      </c>
      <c r="G12" s="2">
        <v>2.6</v>
      </c>
      <c r="H12" s="2">
        <v>2.7</v>
      </c>
      <c r="I12" s="2">
        <v>9.3</v>
      </c>
      <c r="J12" s="2">
        <v>3.9</v>
      </c>
      <c r="K12" s="2">
        <v>6.695253770266532</v>
      </c>
      <c r="L12" s="2">
        <v>4.801204384639372</v>
      </c>
      <c r="M12" s="2">
        <v>5.615213528801732</v>
      </c>
    </row>
    <row r="13" spans="1:13" ht="15">
      <c r="A13" s="66" t="s">
        <v>8</v>
      </c>
      <c r="B13" s="85" t="s">
        <v>11</v>
      </c>
      <c r="C13" s="66"/>
      <c r="D13" s="18" t="s">
        <v>211</v>
      </c>
      <c r="E13" s="18" t="s">
        <v>211</v>
      </c>
      <c r="F13" s="1">
        <f>-111</f>
        <v>-111</v>
      </c>
      <c r="G13" s="1">
        <v>483</v>
      </c>
      <c r="H13" s="1">
        <v>492</v>
      </c>
      <c r="I13" s="1">
        <v>720</v>
      </c>
      <c r="J13" s="1">
        <v>666</v>
      </c>
      <c r="K13" s="1">
        <v>1336.2700397000006</v>
      </c>
      <c r="L13" s="1">
        <v>1138</v>
      </c>
      <c r="M13" s="1">
        <v>1674.8663780000056</v>
      </c>
    </row>
    <row r="14" spans="1:13" ht="15">
      <c r="A14" s="66" t="s">
        <v>8</v>
      </c>
      <c r="B14" s="214" t="s">
        <v>237</v>
      </c>
      <c r="C14" s="66" t="s">
        <v>168</v>
      </c>
      <c r="D14" s="86" t="s">
        <v>206</v>
      </c>
      <c r="E14" s="86" t="s">
        <v>206</v>
      </c>
      <c r="F14" s="2">
        <f>F13/F8*100</f>
        <v>-0.677490234375</v>
      </c>
      <c r="G14" s="2">
        <f>G13/G8*100</f>
        <v>2.6426656453466104</v>
      </c>
      <c r="H14" s="2">
        <f>H13/H8*100</f>
        <v>2.7389634248176806</v>
      </c>
      <c r="I14" s="2">
        <v>3.7</v>
      </c>
      <c r="J14" s="2">
        <v>3.9</v>
      </c>
      <c r="K14" s="2">
        <v>6.695253770266535</v>
      </c>
      <c r="L14" s="2">
        <v>4.801204384639392</v>
      </c>
      <c r="M14" s="2">
        <v>5.791286130733863</v>
      </c>
    </row>
    <row r="15" spans="1:13" ht="12.75">
      <c r="A15" s="66" t="s">
        <v>8</v>
      </c>
      <c r="B15" s="85" t="s">
        <v>11</v>
      </c>
      <c r="C15" s="66"/>
      <c r="D15" s="18" t="s">
        <v>123</v>
      </c>
      <c r="E15" s="18" t="s">
        <v>123</v>
      </c>
      <c r="F15" s="1">
        <v>6859</v>
      </c>
      <c r="G15" s="1">
        <v>6388</v>
      </c>
      <c r="H15" s="1">
        <v>6186</v>
      </c>
      <c r="I15" s="1">
        <v>7044</v>
      </c>
      <c r="J15" s="1">
        <v>4526</v>
      </c>
      <c r="K15" s="1">
        <v>5893.346071300004</v>
      </c>
      <c r="L15" s="1">
        <v>8346.183170499995</v>
      </c>
      <c r="M15" s="1">
        <v>7841.062388799999</v>
      </c>
    </row>
    <row r="16" spans="1:13" ht="12.75">
      <c r="A16" s="66" t="s">
        <v>8</v>
      </c>
      <c r="B16" s="85" t="s">
        <v>11</v>
      </c>
      <c r="C16" s="66" t="s">
        <v>168</v>
      </c>
      <c r="D16" s="18" t="s">
        <v>176</v>
      </c>
      <c r="E16" s="18" t="s">
        <v>176</v>
      </c>
      <c r="F16" s="2">
        <v>-1.7</v>
      </c>
      <c r="G16" s="2">
        <v>7.7</v>
      </c>
      <c r="H16" s="2">
        <v>7.7</v>
      </c>
      <c r="I16" s="2">
        <v>27.1</v>
      </c>
      <c r="J16" s="2">
        <v>11.9</v>
      </c>
      <c r="K16" s="2">
        <v>25.9</v>
      </c>
      <c r="L16" s="2">
        <v>13.1</v>
      </c>
      <c r="M16" s="2">
        <v>18.6</v>
      </c>
    </row>
    <row r="17" spans="1:13" ht="12.75">
      <c r="A17" s="66" t="s">
        <v>8</v>
      </c>
      <c r="B17" s="85" t="s">
        <v>11</v>
      </c>
      <c r="C17" s="66"/>
      <c r="D17" s="18" t="s">
        <v>149</v>
      </c>
      <c r="E17" s="18" t="s">
        <v>149</v>
      </c>
      <c r="F17" s="1">
        <v>617</v>
      </c>
      <c r="G17" s="1">
        <v>715</v>
      </c>
      <c r="H17" s="1">
        <v>722</v>
      </c>
      <c r="I17" s="1">
        <v>956</v>
      </c>
      <c r="J17" s="1">
        <v>665</v>
      </c>
      <c r="K17" s="1">
        <v>932.6</v>
      </c>
      <c r="L17" s="1">
        <v>979</v>
      </c>
      <c r="M17" s="1">
        <v>699</v>
      </c>
    </row>
    <row r="18" spans="1:13" ht="12.75">
      <c r="A18" s="66" t="s">
        <v>8</v>
      </c>
      <c r="B18" s="85" t="s">
        <v>11</v>
      </c>
      <c r="C18" s="66" t="s">
        <v>181</v>
      </c>
      <c r="D18" s="18" t="s">
        <v>21</v>
      </c>
      <c r="E18" s="18" t="s">
        <v>21</v>
      </c>
      <c r="F18" s="1">
        <v>10904</v>
      </c>
      <c r="G18" s="1">
        <v>10787</v>
      </c>
      <c r="H18" s="1">
        <v>10360</v>
      </c>
      <c r="I18" s="1">
        <v>10230</v>
      </c>
      <c r="J18" s="1">
        <v>9391</v>
      </c>
      <c r="K18" s="1">
        <v>10748.716100000001</v>
      </c>
      <c r="L18" s="1">
        <v>9571</v>
      </c>
      <c r="M18" s="1">
        <v>8459</v>
      </c>
    </row>
    <row r="19" spans="1:5" ht="12.75">
      <c r="A19" s="66" t="s">
        <v>10</v>
      </c>
      <c r="B19" s="66"/>
      <c r="C19" s="66"/>
      <c r="D19" s="18"/>
      <c r="E19" s="18"/>
    </row>
    <row r="20" spans="1:5" ht="12.75">
      <c r="A20" s="66" t="s">
        <v>16</v>
      </c>
      <c r="D20" s="18" t="s">
        <v>210</v>
      </c>
      <c r="E20" s="18" t="s">
        <v>210</v>
      </c>
    </row>
    <row r="21" spans="1:5" ht="12.75">
      <c r="A21" s="66" t="s">
        <v>10</v>
      </c>
      <c r="B21" s="16"/>
      <c r="C21" s="16"/>
      <c r="D21" s="16"/>
      <c r="E21" s="16"/>
    </row>
    <row r="22" spans="1:11" s="16" customFormat="1" ht="144.75">
      <c r="A22" s="66" t="s">
        <v>615</v>
      </c>
      <c r="E22" s="61" t="s">
        <v>616</v>
      </c>
      <c r="F22" s="55"/>
      <c r="G22" s="55"/>
      <c r="H22" s="55"/>
      <c r="I22" s="55"/>
      <c r="J22" s="55"/>
      <c r="K22" s="55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&amp;L&amp;D/&amp;F</oddHeader>
    <oddFooter>&amp;L&amp;"Calibri"&amp;11&amp;K000000&amp;"Calibri"&amp;11&amp;K000000
&amp;1#&amp;"Calibri"&amp;8&amp;K000000 Classified as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4"/>
  <sheetViews>
    <sheetView tabSelected="1" zoomScale="77" zoomScaleNormal="77" zoomScalePageLayoutView="0" workbookViewId="0" topLeftCell="A1">
      <selection activeCell="Y73" sqref="Y73"/>
    </sheetView>
  </sheetViews>
  <sheetFormatPr defaultColWidth="9.140625" defaultRowHeight="12.75"/>
  <cols>
    <col min="1" max="1" width="10.7109375" style="0" customWidth="1"/>
    <col min="2" max="2" width="15.7109375" style="0" customWidth="1"/>
    <col min="3" max="3" width="49.28125" style="0" customWidth="1"/>
    <col min="4" max="4" width="26.28125" style="0" customWidth="1"/>
    <col min="5" max="5" width="69.8515625" style="0" customWidth="1"/>
  </cols>
  <sheetData>
    <row r="1" spans="2:4" ht="17.25">
      <c r="B1" s="49" t="s">
        <v>140</v>
      </c>
      <c r="C1" s="49" t="s">
        <v>140</v>
      </c>
      <c r="D1" s="16"/>
    </row>
    <row r="2" ht="12.75">
      <c r="C2" t="s">
        <v>141</v>
      </c>
    </row>
    <row r="3" ht="12.75">
      <c r="C3" s="13" t="s">
        <v>27</v>
      </c>
    </row>
    <row r="4" ht="12.75">
      <c r="C4" s="13"/>
    </row>
    <row r="5" spans="4:8" ht="12.75">
      <c r="D5" s="46" t="s">
        <v>158</v>
      </c>
      <c r="H5" s="16"/>
    </row>
    <row r="6" spans="3:12" ht="12.75">
      <c r="C6" s="24" t="s">
        <v>142</v>
      </c>
      <c r="D6">
        <v>2017</v>
      </c>
      <c r="G6" s="213"/>
      <c r="H6" s="213"/>
      <c r="I6" s="213"/>
      <c r="J6" s="213"/>
      <c r="K6" s="213"/>
      <c r="L6" s="213"/>
    </row>
    <row r="7" spans="3:12" ht="12.75">
      <c r="C7" s="16" t="s">
        <v>573</v>
      </c>
      <c r="D7">
        <v>2017</v>
      </c>
      <c r="G7" s="213"/>
      <c r="H7" s="213"/>
      <c r="I7" s="213"/>
      <c r="J7" s="213"/>
      <c r="K7" s="213"/>
      <c r="L7" s="213"/>
    </row>
    <row r="8" spans="3:12" ht="12.75">
      <c r="C8" t="s">
        <v>150</v>
      </c>
      <c r="D8">
        <v>2017</v>
      </c>
      <c r="G8" s="213"/>
      <c r="H8" s="213"/>
      <c r="I8" s="213"/>
      <c r="J8" s="213"/>
      <c r="K8" s="213"/>
      <c r="L8" s="213"/>
    </row>
    <row r="9" spans="3:12" ht="12.75">
      <c r="C9" s="16" t="s">
        <v>565</v>
      </c>
      <c r="D9">
        <v>2017</v>
      </c>
      <c r="G9" s="213"/>
      <c r="H9" s="213"/>
      <c r="I9" s="213"/>
      <c r="J9" s="213"/>
      <c r="K9" s="213"/>
      <c r="L9" s="213"/>
    </row>
    <row r="10" spans="3:12" ht="12.75">
      <c r="C10" t="s">
        <v>143</v>
      </c>
      <c r="D10">
        <v>2017</v>
      </c>
      <c r="G10" s="213"/>
      <c r="H10" s="213"/>
      <c r="I10" s="213"/>
      <c r="J10" s="213"/>
      <c r="K10" s="213"/>
      <c r="L10" s="213"/>
    </row>
    <row r="11" spans="3:12" ht="12.75">
      <c r="C11" t="s">
        <v>567</v>
      </c>
      <c r="D11">
        <v>2018</v>
      </c>
      <c r="G11" s="213"/>
      <c r="H11" s="213"/>
      <c r="I11" s="213"/>
      <c r="J11" s="213"/>
      <c r="K11" s="213"/>
      <c r="L11" s="213"/>
    </row>
    <row r="12" spans="3:12" ht="12.75">
      <c r="C12" t="s">
        <v>568</v>
      </c>
      <c r="D12">
        <v>2018</v>
      </c>
      <c r="G12" s="213"/>
      <c r="H12" s="213"/>
      <c r="I12" s="213"/>
      <c r="J12" s="213"/>
      <c r="K12" s="213"/>
      <c r="L12" s="213"/>
    </row>
    <row r="13" spans="3:12" ht="12.75">
      <c r="C13" s="16" t="s">
        <v>569</v>
      </c>
      <c r="D13">
        <v>2018</v>
      </c>
      <c r="G13" s="213"/>
      <c r="H13" s="213"/>
      <c r="I13" s="213"/>
      <c r="J13" s="213"/>
      <c r="K13" s="213"/>
      <c r="L13" s="213"/>
    </row>
    <row r="14" spans="3:12" ht="12.75">
      <c r="C14" s="16" t="s">
        <v>570</v>
      </c>
      <c r="D14">
        <v>2018</v>
      </c>
      <c r="G14" s="213"/>
      <c r="H14" s="213"/>
      <c r="I14" s="213"/>
      <c r="J14" s="213"/>
      <c r="K14" s="213"/>
      <c r="L14" s="213"/>
    </row>
    <row r="15" spans="3:12" ht="12.75">
      <c r="C15" s="16" t="s">
        <v>571</v>
      </c>
      <c r="D15">
        <v>2018</v>
      </c>
      <c r="G15" s="213"/>
      <c r="H15" s="213"/>
      <c r="I15" s="213"/>
      <c r="J15" s="213"/>
      <c r="K15" s="213"/>
      <c r="L15" s="213"/>
    </row>
    <row r="16" spans="3:12" ht="12.75">
      <c r="C16" s="16" t="s">
        <v>144</v>
      </c>
      <c r="D16">
        <v>2017</v>
      </c>
      <c r="G16" s="213"/>
      <c r="H16" s="213"/>
      <c r="I16" s="213"/>
      <c r="J16" s="213"/>
      <c r="K16" s="213"/>
      <c r="L16" s="213"/>
    </row>
    <row r="17" spans="3:12" ht="12.75">
      <c r="C17" s="16"/>
      <c r="G17" s="213"/>
      <c r="H17" s="213"/>
      <c r="I17" s="213"/>
      <c r="J17" s="213"/>
      <c r="K17" s="213"/>
      <c r="L17" s="213"/>
    </row>
    <row r="18" spans="3:12" ht="12.75">
      <c r="C18" s="24" t="s">
        <v>145</v>
      </c>
      <c r="G18" s="213"/>
      <c r="H18" s="213"/>
      <c r="I18" s="213"/>
      <c r="J18" s="213"/>
      <c r="K18" s="213"/>
      <c r="L18" s="213"/>
    </row>
    <row r="19" spans="3:12" ht="12.75">
      <c r="C19" t="s">
        <v>564</v>
      </c>
      <c r="D19">
        <v>2014</v>
      </c>
      <c r="G19" s="213"/>
      <c r="H19" s="213"/>
      <c r="I19" s="213"/>
      <c r="J19" s="213"/>
      <c r="K19" s="213"/>
      <c r="L19" s="213"/>
    </row>
    <row r="20" spans="3:12" ht="12.75">
      <c r="C20" s="16" t="s">
        <v>151</v>
      </c>
      <c r="D20">
        <v>2014</v>
      </c>
      <c r="G20" s="213"/>
      <c r="H20" s="213"/>
      <c r="I20" s="213"/>
      <c r="J20" s="213"/>
      <c r="K20" s="213"/>
      <c r="L20" s="213"/>
    </row>
    <row r="21" spans="3:12" ht="12.75">
      <c r="C21" s="16" t="s">
        <v>566</v>
      </c>
      <c r="D21">
        <v>2014</v>
      </c>
      <c r="G21" s="213"/>
      <c r="H21" s="213"/>
      <c r="I21" s="213"/>
      <c r="J21" s="213"/>
      <c r="K21" s="213"/>
      <c r="L21" s="213"/>
    </row>
    <row r="22" spans="3:4" ht="12.75">
      <c r="C22" t="s">
        <v>146</v>
      </c>
      <c r="D22" s="16">
        <v>2014</v>
      </c>
    </row>
    <row r="23" spans="3:4" ht="12.75">
      <c r="C23" s="16" t="s">
        <v>560</v>
      </c>
      <c r="D23">
        <v>2016</v>
      </c>
    </row>
    <row r="24" spans="3:4" ht="12.75">
      <c r="C24" t="s">
        <v>561</v>
      </c>
      <c r="D24">
        <v>2016</v>
      </c>
    </row>
    <row r="25" spans="3:4" ht="12.75">
      <c r="C25" s="16" t="s">
        <v>562</v>
      </c>
      <c r="D25">
        <v>2016</v>
      </c>
    </row>
    <row r="26" spans="3:4" ht="12.75">
      <c r="C26" s="16" t="s">
        <v>563</v>
      </c>
      <c r="D26">
        <v>2016</v>
      </c>
    </row>
    <row r="27" spans="3:4" ht="12.75">
      <c r="C27" s="16" t="s">
        <v>153</v>
      </c>
      <c r="D27">
        <v>2016</v>
      </c>
    </row>
    <row r="28" spans="3:4" ht="12.75">
      <c r="C28" s="16" t="s">
        <v>110</v>
      </c>
      <c r="D28">
        <v>2014</v>
      </c>
    </row>
    <row r="29" spans="3:4" ht="12.75">
      <c r="C29" t="s">
        <v>147</v>
      </c>
      <c r="D29">
        <v>2014</v>
      </c>
    </row>
    <row r="30" spans="3:4" ht="12.75">
      <c r="C30" t="s">
        <v>152</v>
      </c>
      <c r="D30">
        <v>2014</v>
      </c>
    </row>
    <row r="31" spans="3:4" ht="12.75">
      <c r="C31" t="s">
        <v>572</v>
      </c>
      <c r="D31">
        <v>2014</v>
      </c>
    </row>
    <row r="32" ht="12.75">
      <c r="C32" s="16"/>
    </row>
    <row r="33" ht="12.75">
      <c r="C33" s="16" t="s">
        <v>148</v>
      </c>
    </row>
    <row r="34" spans="3:4" ht="12.75">
      <c r="C34" t="s">
        <v>167</v>
      </c>
      <c r="D34">
        <v>2014</v>
      </c>
    </row>
    <row r="35" spans="3:4" ht="12.75">
      <c r="C35" s="16" t="s">
        <v>130</v>
      </c>
      <c r="D35">
        <v>2014</v>
      </c>
    </row>
    <row r="36" spans="3:4" ht="12.75">
      <c r="C36" s="16" t="s">
        <v>157</v>
      </c>
      <c r="D36">
        <v>2020</v>
      </c>
    </row>
    <row r="37" spans="4:6" ht="12.75">
      <c r="D37" s="16"/>
      <c r="F37" s="16"/>
    </row>
    <row r="38" ht="12.75">
      <c r="D38" s="16"/>
    </row>
    <row r="39" ht="12.75">
      <c r="C39" s="24"/>
    </row>
    <row r="41" ht="14.25" customHeight="1"/>
    <row r="42" ht="12.75">
      <c r="C42" s="24"/>
    </row>
    <row r="43" ht="12.75">
      <c r="C43" s="6"/>
    </row>
    <row r="44" ht="12.75">
      <c r="C44" s="6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6" r:id="rId2"/>
  <headerFooter alignWithMargins="0">
    <oddFooter>&amp;L&amp;"Calibri"&amp;11&amp;K000000&amp;"Calibri"&amp;11&amp;K000000
&amp;1#&amp;"Calibri"&amp;8&amp;K000000 Classified as Internal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23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11.28125" style="66" bestFit="1" customWidth="1"/>
    <col min="2" max="2" width="12.28125" style="0" bestFit="1" customWidth="1"/>
    <col min="3" max="3" width="11.28125" style="0" bestFit="1" customWidth="1"/>
    <col min="4" max="4" width="28.28125" style="0" hidden="1" customWidth="1"/>
    <col min="5" max="5" width="35.7109375" style="0" customWidth="1"/>
  </cols>
  <sheetData>
    <row r="1" spans="1:5" ht="17.25">
      <c r="A1" s="68">
        <v>44196</v>
      </c>
      <c r="B1" s="32" t="s">
        <v>26</v>
      </c>
      <c r="C1" s="33"/>
      <c r="D1" s="34" t="str">
        <f>Company</f>
        <v>AB Electrolux</v>
      </c>
      <c r="E1" s="34" t="str">
        <f>Company</f>
        <v>AB Electrolux</v>
      </c>
    </row>
    <row r="2" spans="1:5" ht="12.75">
      <c r="A2" s="69"/>
      <c r="B2" s="32" t="s">
        <v>28</v>
      </c>
      <c r="C2" s="33"/>
      <c r="D2" s="35">
        <f>A1</f>
        <v>44196</v>
      </c>
      <c r="E2" s="36">
        <f>+A1</f>
        <v>44196</v>
      </c>
    </row>
    <row r="3" spans="1:5" ht="12.75">
      <c r="A3" s="69"/>
      <c r="B3" s="32" t="s">
        <v>29</v>
      </c>
      <c r="C3" s="33" t="s">
        <v>30</v>
      </c>
      <c r="D3" s="37" t="s">
        <v>31</v>
      </c>
      <c r="E3" s="37" t="s">
        <v>32</v>
      </c>
    </row>
    <row r="4" spans="1:5" ht="12.75">
      <c r="A4" s="66" t="s">
        <v>6</v>
      </c>
      <c r="B4" s="32" t="s">
        <v>33</v>
      </c>
      <c r="C4" s="16"/>
      <c r="D4" s="52" t="s">
        <v>202</v>
      </c>
      <c r="E4" s="52" t="s">
        <v>202</v>
      </c>
    </row>
    <row r="5" spans="2:5" ht="12.75">
      <c r="B5" s="32" t="s">
        <v>35</v>
      </c>
      <c r="C5" s="38" t="s">
        <v>139</v>
      </c>
      <c r="D5" s="43"/>
      <c r="E5" s="43"/>
    </row>
    <row r="6" spans="1:13" ht="15">
      <c r="A6" s="67" t="s">
        <v>7</v>
      </c>
      <c r="B6" s="41" t="s">
        <v>34</v>
      </c>
      <c r="C6" s="38" t="s">
        <v>139</v>
      </c>
      <c r="D6" s="50" t="s">
        <v>138</v>
      </c>
      <c r="E6" s="50" t="s">
        <v>138</v>
      </c>
      <c r="F6" s="30">
        <v>2016</v>
      </c>
      <c r="G6" s="30" t="s">
        <v>205</v>
      </c>
      <c r="H6" s="30">
        <v>2018</v>
      </c>
      <c r="I6" s="30">
        <v>2019</v>
      </c>
      <c r="J6" s="30">
        <v>2020</v>
      </c>
      <c r="K6" s="51">
        <v>2021</v>
      </c>
      <c r="L6" s="51">
        <v>2022</v>
      </c>
      <c r="M6" s="51">
        <v>2023</v>
      </c>
    </row>
    <row r="7" spans="1:5" s="13" customFormat="1" ht="12.75">
      <c r="A7" s="65" t="s">
        <v>177</v>
      </c>
      <c r="B7" s="65"/>
      <c r="C7" s="65"/>
      <c r="D7" s="13" t="s">
        <v>3</v>
      </c>
      <c r="E7" s="13" t="s">
        <v>3</v>
      </c>
    </row>
    <row r="8" spans="1:13" ht="12.75">
      <c r="A8" s="66" t="s">
        <v>8</v>
      </c>
      <c r="B8" s="85" t="s">
        <v>11</v>
      </c>
      <c r="C8" s="66"/>
      <c r="D8" s="18" t="s">
        <v>116</v>
      </c>
      <c r="E8" s="18" t="s">
        <v>116</v>
      </c>
      <c r="F8" s="1">
        <v>13833</v>
      </c>
      <c r="G8" s="1">
        <v>13457</v>
      </c>
      <c r="H8" s="1">
        <v>14375</v>
      </c>
      <c r="I8" s="1">
        <v>14954</v>
      </c>
      <c r="J8" s="1">
        <v>14788</v>
      </c>
      <c r="K8" s="1">
        <v>15820.040938</v>
      </c>
      <c r="L8" s="1">
        <v>11123.784079100002</v>
      </c>
      <c r="M8" s="1">
        <v>15109.022469700001</v>
      </c>
    </row>
    <row r="9" spans="1:13" ht="12.75">
      <c r="A9" s="66" t="s">
        <v>8</v>
      </c>
      <c r="B9" s="85" t="s">
        <v>11</v>
      </c>
      <c r="C9" s="66" t="s">
        <v>168</v>
      </c>
      <c r="D9" s="18" t="s">
        <v>172</v>
      </c>
      <c r="E9" s="18" t="s">
        <v>172</v>
      </c>
      <c r="F9" s="2"/>
      <c r="G9" s="2"/>
      <c r="H9" s="2">
        <v>4.2</v>
      </c>
      <c r="I9" s="2">
        <v>-1.3</v>
      </c>
      <c r="J9" s="2">
        <v>1.68752</v>
      </c>
      <c r="K9" s="2">
        <v>8.35117562092249</v>
      </c>
      <c r="L9" s="2">
        <v>-11.3</v>
      </c>
      <c r="M9" s="2">
        <v>-8.39</v>
      </c>
    </row>
    <row r="10" spans="1:13" ht="12.75">
      <c r="A10" s="66" t="s">
        <v>8</v>
      </c>
      <c r="B10" s="85" t="s">
        <v>11</v>
      </c>
      <c r="C10" s="66" t="s">
        <v>168</v>
      </c>
      <c r="D10" s="18" t="s">
        <v>173</v>
      </c>
      <c r="E10" s="18" t="s">
        <v>173</v>
      </c>
      <c r="F10" s="2"/>
      <c r="G10" s="2"/>
      <c r="H10" s="2">
        <v>0.9</v>
      </c>
      <c r="I10" s="2">
        <v>0.1</v>
      </c>
      <c r="J10" s="2">
        <v>0.5909433</v>
      </c>
      <c r="K10" s="2">
        <v>0.9260215980782588</v>
      </c>
      <c r="L10" s="2">
        <v>0</v>
      </c>
      <c r="M10" s="2">
        <v>0</v>
      </c>
    </row>
    <row r="11" spans="1:13" ht="12.75">
      <c r="A11" s="66" t="s">
        <v>8</v>
      </c>
      <c r="B11" s="85" t="s">
        <v>11</v>
      </c>
      <c r="C11" s="66"/>
      <c r="D11" s="18" t="s">
        <v>118</v>
      </c>
      <c r="E11" s="18" t="s">
        <v>118</v>
      </c>
      <c r="F11" s="58">
        <v>673</v>
      </c>
      <c r="G11" s="58">
        <v>1077</v>
      </c>
      <c r="H11" s="58">
        <v>979</v>
      </c>
      <c r="I11" s="58">
        <v>446</v>
      </c>
      <c r="J11" s="58">
        <v>1038</v>
      </c>
      <c r="K11" s="58">
        <v>1511.467300300006</v>
      </c>
      <c r="L11" s="58">
        <v>568.2882749000009</v>
      </c>
      <c r="M11" s="58">
        <v>460.197481500001</v>
      </c>
    </row>
    <row r="12" spans="1:13" ht="12.75">
      <c r="A12" s="66" t="s">
        <v>8</v>
      </c>
      <c r="B12" s="85" t="s">
        <v>11</v>
      </c>
      <c r="C12" s="66" t="s">
        <v>168</v>
      </c>
      <c r="D12" s="18" t="s">
        <v>169</v>
      </c>
      <c r="E12" s="18" t="s">
        <v>169</v>
      </c>
      <c r="F12" s="59">
        <v>4.9</v>
      </c>
      <c r="G12" s="59">
        <v>8</v>
      </c>
      <c r="H12" s="59">
        <v>6.8</v>
      </c>
      <c r="I12" s="59">
        <v>3</v>
      </c>
      <c r="J12" s="59">
        <v>7</v>
      </c>
      <c r="K12" s="59">
        <v>9.554130145576519</v>
      </c>
      <c r="L12" s="59">
        <v>5.1087675817776566</v>
      </c>
      <c r="M12" s="59">
        <v>3.045845503393037</v>
      </c>
    </row>
    <row r="13" spans="1:13" ht="15">
      <c r="A13" s="66" t="s">
        <v>8</v>
      </c>
      <c r="B13" s="85" t="s">
        <v>11</v>
      </c>
      <c r="C13" s="66"/>
      <c r="D13" s="18" t="s">
        <v>211</v>
      </c>
      <c r="E13" s="18" t="s">
        <v>211</v>
      </c>
      <c r="F13" s="58">
        <v>673</v>
      </c>
      <c r="G13" s="58">
        <v>1077</v>
      </c>
      <c r="H13" s="58">
        <v>979</v>
      </c>
      <c r="I13" s="58">
        <v>844</v>
      </c>
      <c r="J13" s="58">
        <v>1038</v>
      </c>
      <c r="K13" s="58">
        <v>1511.467300300006</v>
      </c>
      <c r="L13" s="58">
        <v>1374</v>
      </c>
      <c r="M13" s="58">
        <v>783.4964815000012</v>
      </c>
    </row>
    <row r="14" spans="1:13" ht="15">
      <c r="A14" s="66" t="s">
        <v>8</v>
      </c>
      <c r="B14" s="214" t="s">
        <v>237</v>
      </c>
      <c r="C14" s="66" t="s">
        <v>168</v>
      </c>
      <c r="D14" s="86" t="s">
        <v>206</v>
      </c>
      <c r="E14" s="86" t="s">
        <v>206</v>
      </c>
      <c r="F14" s="59">
        <v>4.9</v>
      </c>
      <c r="G14" s="59">
        <v>8</v>
      </c>
      <c r="H14" s="59">
        <v>6.8</v>
      </c>
      <c r="I14" s="59">
        <v>5.6</v>
      </c>
      <c r="J14" s="59">
        <v>7</v>
      </c>
      <c r="K14" s="59">
        <v>9.554130145576476</v>
      </c>
      <c r="L14" s="59">
        <v>8.1</v>
      </c>
      <c r="M14" s="2">
        <v>5.185619937168314</v>
      </c>
    </row>
    <row r="15" spans="1:13" ht="12.75">
      <c r="A15" s="66" t="s">
        <v>8</v>
      </c>
      <c r="B15" s="85" t="s">
        <v>11</v>
      </c>
      <c r="C15" s="66"/>
      <c r="D15" s="18" t="s">
        <v>123</v>
      </c>
      <c r="E15" s="18" t="s">
        <v>123</v>
      </c>
      <c r="F15" s="1">
        <v>2863</v>
      </c>
      <c r="G15" s="1">
        <v>4784</v>
      </c>
      <c r="H15" s="1">
        <v>5223</v>
      </c>
      <c r="I15" s="1">
        <v>6062</v>
      </c>
      <c r="J15" s="1">
        <v>3996</v>
      </c>
      <c r="K15" s="1">
        <v>4900.221489100009</v>
      </c>
      <c r="L15" s="1">
        <v>6637.4317279000015</v>
      </c>
      <c r="M15" s="1">
        <v>5471.3224649999975</v>
      </c>
    </row>
    <row r="16" spans="1:13" ht="12.75">
      <c r="A16" s="66" t="s">
        <v>8</v>
      </c>
      <c r="B16" s="85" t="s">
        <v>11</v>
      </c>
      <c r="C16" s="66" t="s">
        <v>168</v>
      </c>
      <c r="D16" s="18" t="s">
        <v>176</v>
      </c>
      <c r="E16" s="18" t="s">
        <v>176</v>
      </c>
      <c r="F16" s="2">
        <v>17.4</v>
      </c>
      <c r="G16" s="2">
        <v>23.8</v>
      </c>
      <c r="H16" s="2">
        <v>19.2</v>
      </c>
      <c r="I16" s="2">
        <v>7.4</v>
      </c>
      <c r="J16" s="2">
        <v>20.3</v>
      </c>
      <c r="K16" s="2">
        <v>31.7</v>
      </c>
      <c r="L16" s="2">
        <v>21.94</v>
      </c>
      <c r="M16" s="2">
        <v>7.2</v>
      </c>
    </row>
    <row r="17" spans="1:13" ht="12.75">
      <c r="A17" s="66" t="s">
        <v>8</v>
      </c>
      <c r="B17" s="85" t="s">
        <v>11</v>
      </c>
      <c r="C17" s="66"/>
      <c r="D17" s="18" t="s">
        <v>149</v>
      </c>
      <c r="E17" s="18" t="s">
        <v>149</v>
      </c>
      <c r="F17" s="1">
        <v>358</v>
      </c>
      <c r="G17" s="1">
        <v>511</v>
      </c>
      <c r="H17" s="1">
        <v>505</v>
      </c>
      <c r="I17" s="1">
        <v>456</v>
      </c>
      <c r="J17" s="1">
        <v>562</v>
      </c>
      <c r="K17" s="1">
        <v>727.47</v>
      </c>
      <c r="L17" s="1">
        <v>850</v>
      </c>
      <c r="M17" s="1">
        <v>651</v>
      </c>
    </row>
    <row r="18" spans="1:13" ht="12.75">
      <c r="A18" s="66" t="s">
        <v>8</v>
      </c>
      <c r="B18" s="85" t="s">
        <v>11</v>
      </c>
      <c r="C18" s="66" t="s">
        <v>181</v>
      </c>
      <c r="D18" s="18" t="s">
        <v>21</v>
      </c>
      <c r="E18" s="18" t="s">
        <v>21</v>
      </c>
      <c r="F18" s="1">
        <v>7306</v>
      </c>
      <c r="G18" s="1">
        <v>7812</v>
      </c>
      <c r="H18" s="1">
        <v>7829</v>
      </c>
      <c r="I18" s="1">
        <v>7919</v>
      </c>
      <c r="J18" s="1">
        <v>7526</v>
      </c>
      <c r="K18" s="1">
        <v>7875.8801</v>
      </c>
      <c r="L18" s="1">
        <v>8040</v>
      </c>
      <c r="M18" s="1">
        <v>7704</v>
      </c>
    </row>
    <row r="19" spans="1:3" ht="12.75">
      <c r="A19" s="66" t="s">
        <v>10</v>
      </c>
      <c r="B19" s="66"/>
      <c r="C19" s="66"/>
    </row>
    <row r="20" spans="1:5" ht="12.75">
      <c r="A20" s="66" t="s">
        <v>16</v>
      </c>
      <c r="D20" s="16" t="s">
        <v>207</v>
      </c>
      <c r="E20" s="16" t="s">
        <v>207</v>
      </c>
    </row>
    <row r="21" spans="1:5" ht="12.75">
      <c r="A21" s="66" t="s">
        <v>16</v>
      </c>
      <c r="D21" s="18" t="s">
        <v>210</v>
      </c>
      <c r="E21" s="18" t="s">
        <v>210</v>
      </c>
    </row>
    <row r="22" spans="1:12" ht="12.75">
      <c r="A22" s="66" t="s">
        <v>10</v>
      </c>
      <c r="B22" s="16"/>
      <c r="C22" s="16"/>
      <c r="D22" s="16"/>
      <c r="E22" s="16"/>
      <c r="L22" s="1"/>
    </row>
    <row r="23" spans="1:11" s="16" customFormat="1" ht="158.25">
      <c r="A23" s="66" t="s">
        <v>615</v>
      </c>
      <c r="E23" s="61" t="s">
        <v>616</v>
      </c>
      <c r="F23" s="55"/>
      <c r="G23" s="55"/>
      <c r="H23" s="55"/>
      <c r="I23" s="55"/>
      <c r="J23" s="55"/>
      <c r="K23" s="55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&amp;L&amp;D/&amp;F</oddHeader>
    <oddFooter>&amp;L&amp;"Calibri"&amp;11&amp;K000000&amp;"Calibri"&amp;11&amp;K000000
&amp;1#&amp;"Calibri"&amp;8&amp;K000000 Classified as Internal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PageLayoutView="0" workbookViewId="0" topLeftCell="A1">
      <selection activeCell="AF22" sqref="AF22"/>
    </sheetView>
  </sheetViews>
  <sheetFormatPr defaultColWidth="9.140625" defaultRowHeight="12.75"/>
  <cols>
    <col min="1" max="1" width="11.28125" style="66" bestFit="1" customWidth="1"/>
    <col min="2" max="2" width="12.28125" style="0" bestFit="1" customWidth="1"/>
    <col min="3" max="3" width="11.28125" style="0" bestFit="1" customWidth="1"/>
    <col min="4" max="4" width="23.28125" style="0" hidden="1" customWidth="1"/>
    <col min="5" max="5" width="44.28125" style="0" bestFit="1" customWidth="1"/>
  </cols>
  <sheetData>
    <row r="1" spans="1:5" ht="17.25">
      <c r="A1" s="68">
        <v>44196</v>
      </c>
      <c r="B1" s="32" t="s">
        <v>26</v>
      </c>
      <c r="C1" s="33"/>
      <c r="D1" s="34" t="str">
        <f>Company</f>
        <v>AB Electrolux</v>
      </c>
      <c r="E1" s="34" t="str">
        <f>Company</f>
        <v>AB Electrolux</v>
      </c>
    </row>
    <row r="2" spans="1:5" ht="12.75">
      <c r="A2" s="69"/>
      <c r="B2" s="32" t="s">
        <v>28</v>
      </c>
      <c r="C2" s="33"/>
      <c r="D2" s="35">
        <f>A1</f>
        <v>44196</v>
      </c>
      <c r="E2" s="36">
        <f>+A1</f>
        <v>44196</v>
      </c>
    </row>
    <row r="3" spans="1:5" ht="12.75">
      <c r="A3" s="69"/>
      <c r="B3" s="32" t="s">
        <v>29</v>
      </c>
      <c r="C3" s="33" t="s">
        <v>30</v>
      </c>
      <c r="D3" s="37" t="s">
        <v>31</v>
      </c>
      <c r="E3" s="37" t="s">
        <v>32</v>
      </c>
    </row>
    <row r="4" spans="1:5" ht="12.75">
      <c r="A4" s="66" t="s">
        <v>6</v>
      </c>
      <c r="B4" s="32" t="s">
        <v>33</v>
      </c>
      <c r="C4" s="16"/>
      <c r="D4" s="52" t="s">
        <v>578</v>
      </c>
      <c r="E4" s="52" t="s">
        <v>578</v>
      </c>
    </row>
    <row r="5" spans="2:5" ht="12.75">
      <c r="B5" s="32" t="s">
        <v>35</v>
      </c>
      <c r="C5" s="38" t="s">
        <v>139</v>
      </c>
      <c r="D5" s="43"/>
      <c r="E5" s="43"/>
    </row>
    <row r="6" spans="1:9" ht="12.75">
      <c r="A6" s="67" t="s">
        <v>7</v>
      </c>
      <c r="B6" s="41" t="s">
        <v>34</v>
      </c>
      <c r="C6" s="38" t="s">
        <v>139</v>
      </c>
      <c r="D6" s="50" t="s">
        <v>138</v>
      </c>
      <c r="E6" s="50" t="s">
        <v>138</v>
      </c>
      <c r="F6" s="30">
        <v>2016</v>
      </c>
      <c r="G6" s="30">
        <v>2017</v>
      </c>
      <c r="H6" s="30">
        <v>2018</v>
      </c>
      <c r="I6" s="30">
        <v>2019</v>
      </c>
    </row>
    <row r="7" spans="1:5" s="13" customFormat="1" ht="12.75">
      <c r="A7" s="65" t="s">
        <v>177</v>
      </c>
      <c r="B7" s="65"/>
      <c r="C7" s="65"/>
      <c r="D7" s="13" t="s">
        <v>3</v>
      </c>
      <c r="E7" s="13" t="s">
        <v>3</v>
      </c>
    </row>
    <row r="8" spans="1:9" ht="12.75">
      <c r="A8" s="66" t="s">
        <v>8</v>
      </c>
      <c r="B8" s="85" t="s">
        <v>11</v>
      </c>
      <c r="C8" s="66"/>
      <c r="D8" s="18" t="s">
        <v>116</v>
      </c>
      <c r="E8" s="18" t="s">
        <v>116</v>
      </c>
      <c r="F8" s="1">
        <v>6865</v>
      </c>
      <c r="G8" s="1">
        <v>7723.23577</v>
      </c>
      <c r="H8" s="1">
        <v>8666</v>
      </c>
      <c r="I8" s="1">
        <v>9281</v>
      </c>
    </row>
    <row r="9" spans="1:9" ht="12.75">
      <c r="A9" s="66" t="s">
        <v>8</v>
      </c>
      <c r="B9" s="85" t="s">
        <v>11</v>
      </c>
      <c r="C9" s="66" t="s">
        <v>168</v>
      </c>
      <c r="D9" s="18" t="s">
        <v>172</v>
      </c>
      <c r="E9" s="18" t="s">
        <v>172</v>
      </c>
      <c r="F9" s="2">
        <v>4.4</v>
      </c>
      <c r="G9" s="2">
        <v>5.6</v>
      </c>
      <c r="H9" s="2">
        <v>3.5</v>
      </c>
      <c r="I9" s="2">
        <v>-0.3</v>
      </c>
    </row>
    <row r="10" spans="1:9" ht="12.75">
      <c r="A10" s="66" t="s">
        <v>8</v>
      </c>
      <c r="B10" s="85" t="s">
        <v>11</v>
      </c>
      <c r="C10" s="66" t="s">
        <v>168</v>
      </c>
      <c r="D10" s="18" t="s">
        <v>173</v>
      </c>
      <c r="E10" s="18" t="s">
        <v>173</v>
      </c>
      <c r="F10" s="2">
        <v>0.6</v>
      </c>
      <c r="G10" s="2">
        <v>6.6</v>
      </c>
      <c r="H10" s="2">
        <v>4.7</v>
      </c>
      <c r="I10" s="2">
        <v>4</v>
      </c>
    </row>
    <row r="11" spans="1:9" ht="12.75">
      <c r="A11" s="66" t="s">
        <v>8</v>
      </c>
      <c r="B11" s="85" t="s">
        <v>11</v>
      </c>
      <c r="C11" s="66"/>
      <c r="D11" s="18" t="s">
        <v>118</v>
      </c>
      <c r="E11" s="18" t="s">
        <v>118</v>
      </c>
      <c r="F11" s="1">
        <v>954</v>
      </c>
      <c r="G11" s="1">
        <v>1054.26</v>
      </c>
      <c r="H11" s="1">
        <v>1134</v>
      </c>
      <c r="I11" s="1">
        <v>991</v>
      </c>
    </row>
    <row r="12" spans="1:9" ht="12.75">
      <c r="A12" s="66" t="s">
        <v>8</v>
      </c>
      <c r="B12" s="85" t="s">
        <v>11</v>
      </c>
      <c r="C12" s="66" t="s">
        <v>168</v>
      </c>
      <c r="D12" s="18" t="s">
        <v>169</v>
      </c>
      <c r="E12" s="18" t="s">
        <v>169</v>
      </c>
      <c r="F12" s="2">
        <v>13.896576839038602</v>
      </c>
      <c r="G12" s="2">
        <v>13.65049613136438</v>
      </c>
      <c r="H12" s="2">
        <v>13.1</v>
      </c>
      <c r="I12" s="2">
        <v>10.7</v>
      </c>
    </row>
    <row r="13" spans="1:9" ht="15">
      <c r="A13" s="66" t="s">
        <v>8</v>
      </c>
      <c r="B13" s="85" t="s">
        <v>11</v>
      </c>
      <c r="C13" s="66"/>
      <c r="D13" s="18" t="s">
        <v>211</v>
      </c>
      <c r="E13" s="18" t="s">
        <v>211</v>
      </c>
      <c r="F13" s="1">
        <v>954</v>
      </c>
      <c r="G13" s="1">
        <v>1054.26</v>
      </c>
      <c r="H13" s="1">
        <v>1134</v>
      </c>
      <c r="I13" s="1">
        <v>1113</v>
      </c>
    </row>
    <row r="14" spans="1:9" ht="15">
      <c r="A14" s="66" t="s">
        <v>8</v>
      </c>
      <c r="B14" s="214" t="s">
        <v>237</v>
      </c>
      <c r="C14" s="66" t="s">
        <v>168</v>
      </c>
      <c r="D14" s="86" t="s">
        <v>206</v>
      </c>
      <c r="E14" s="86" t="s">
        <v>206</v>
      </c>
      <c r="F14" s="2">
        <v>13.896576839038602</v>
      </c>
      <c r="G14" s="2">
        <v>13.65049613136438</v>
      </c>
      <c r="H14" s="2">
        <v>13.1</v>
      </c>
      <c r="I14" s="2">
        <v>12</v>
      </c>
    </row>
    <row r="15" spans="1:9" ht="12.75">
      <c r="A15" s="66" t="s">
        <v>8</v>
      </c>
      <c r="B15" s="85" t="s">
        <v>11</v>
      </c>
      <c r="C15" s="66"/>
      <c r="D15" s="18" t="s">
        <v>123</v>
      </c>
      <c r="E15" s="18" t="s">
        <v>123</v>
      </c>
      <c r="F15" s="1">
        <v>843</v>
      </c>
      <c r="G15" s="1">
        <v>1728</v>
      </c>
      <c r="H15" s="1">
        <v>2957</v>
      </c>
      <c r="I15" s="1" t="s">
        <v>608</v>
      </c>
    </row>
    <row r="16" spans="1:9" ht="12.75">
      <c r="A16" s="66" t="s">
        <v>8</v>
      </c>
      <c r="B16" s="85" t="s">
        <v>11</v>
      </c>
      <c r="C16" s="66" t="s">
        <v>168</v>
      </c>
      <c r="D16" s="18" t="s">
        <v>176</v>
      </c>
      <c r="E16" s="18" t="s">
        <v>176</v>
      </c>
      <c r="F16" s="2">
        <v>108.1</v>
      </c>
      <c r="G16" s="2">
        <v>64.3</v>
      </c>
      <c r="H16" s="2">
        <v>45.9</v>
      </c>
      <c r="I16" s="2" t="s">
        <v>608</v>
      </c>
    </row>
    <row r="17" spans="1:9" ht="12.75">
      <c r="A17" s="66" t="s">
        <v>8</v>
      </c>
      <c r="B17" s="85" t="s">
        <v>11</v>
      </c>
      <c r="C17" s="66"/>
      <c r="D17" s="18" t="s">
        <v>149</v>
      </c>
      <c r="E17" s="18" t="s">
        <v>149</v>
      </c>
      <c r="F17" s="1">
        <v>124</v>
      </c>
      <c r="G17" s="1">
        <v>167</v>
      </c>
      <c r="H17" s="1">
        <v>169</v>
      </c>
      <c r="I17" s="1">
        <v>257</v>
      </c>
    </row>
    <row r="18" spans="1:9" ht="12.75">
      <c r="A18" s="66" t="s">
        <v>8</v>
      </c>
      <c r="B18" s="85" t="s">
        <v>11</v>
      </c>
      <c r="C18" s="66" t="s">
        <v>181</v>
      </c>
      <c r="D18" s="18" t="s">
        <v>21</v>
      </c>
      <c r="E18" s="18" t="s">
        <v>21</v>
      </c>
      <c r="F18" s="1">
        <v>2767</v>
      </c>
      <c r="G18" s="1">
        <v>2947</v>
      </c>
      <c r="H18" s="1">
        <v>3166</v>
      </c>
      <c r="I18" s="1">
        <v>3469</v>
      </c>
    </row>
    <row r="19" spans="1:5" ht="12.75">
      <c r="A19" s="66" t="s">
        <v>10</v>
      </c>
      <c r="B19" s="66"/>
      <c r="C19" s="66"/>
      <c r="D19" s="18"/>
      <c r="E19" s="18"/>
    </row>
    <row r="20" spans="1:5" ht="12.75">
      <c r="A20" s="66" t="s">
        <v>16</v>
      </c>
      <c r="D20" s="18" t="s">
        <v>210</v>
      </c>
      <c r="E20" s="18" t="s">
        <v>210</v>
      </c>
    </row>
    <row r="21" spans="1:5" ht="12.75">
      <c r="A21" s="66" t="s">
        <v>10</v>
      </c>
      <c r="B21" s="16"/>
      <c r="C21" s="16"/>
      <c r="D21" s="16"/>
      <c r="E21" s="16"/>
    </row>
    <row r="22" spans="1:9" s="16" customFormat="1" ht="132">
      <c r="A22" s="66" t="s">
        <v>615</v>
      </c>
      <c r="E22" s="61" t="s">
        <v>616</v>
      </c>
      <c r="F22" s="55"/>
      <c r="G22" s="55"/>
      <c r="H22" s="55"/>
      <c r="I22" s="55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10" r:id="rId1"/>
  <headerFooter alignWithMargins="0">
    <oddHeader>&amp;L&amp;D/&amp;F</oddHeader>
    <oddFooter>&amp;L&amp;"Calibri"&amp;11&amp;K000000&amp;"Calibri"&amp;11&amp;K000000
&amp;1#&amp;"Calibri"&amp;8&amp;K000000 Classified as Internal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104"/>
  <sheetViews>
    <sheetView zoomScaleSheetLayoutView="100" zoomScalePageLayoutView="0" workbookViewId="0" topLeftCell="C1">
      <selection activeCell="F27" sqref="F27"/>
    </sheetView>
  </sheetViews>
  <sheetFormatPr defaultColWidth="7.28125" defaultRowHeight="12.75"/>
  <cols>
    <col min="1" max="1" width="12.28125" style="66" bestFit="1" customWidth="1"/>
    <col min="2" max="2" width="12.28125" style="6" bestFit="1" customWidth="1"/>
    <col min="3" max="3" width="11.28125" style="6" bestFit="1" customWidth="1"/>
    <col min="4" max="4" width="23.28125" style="6" hidden="1" customWidth="1"/>
    <col min="5" max="5" width="27.28125" style="6" customWidth="1"/>
    <col min="6" max="6" width="20.7109375" style="6" customWidth="1"/>
    <col min="7" max="7" width="7.28125" style="6" customWidth="1"/>
    <col min="8" max="8" width="11.8515625" style="6" customWidth="1"/>
    <col min="9" max="9" width="17.28125" style="6" bestFit="1" customWidth="1"/>
    <col min="10" max="10" width="21.28125" style="6" bestFit="1" customWidth="1"/>
    <col min="11" max="11" width="14.140625" style="7" customWidth="1"/>
    <col min="12" max="16384" width="7.28125" style="6" customWidth="1"/>
  </cols>
  <sheetData>
    <row r="1" spans="1:5" ht="15.75" customHeight="1">
      <c r="A1" s="68">
        <v>44196</v>
      </c>
      <c r="B1" s="32" t="s">
        <v>26</v>
      </c>
      <c r="C1" s="33"/>
      <c r="D1" s="34" t="str">
        <f>Company</f>
        <v>AB Electrolux</v>
      </c>
      <c r="E1" s="34" t="str">
        <f>Company</f>
        <v>AB Electrolux</v>
      </c>
    </row>
    <row r="2" spans="1:5" ht="15.75" customHeight="1">
      <c r="A2" s="69"/>
      <c r="B2" s="32" t="s">
        <v>28</v>
      </c>
      <c r="C2" s="33"/>
      <c r="D2" s="35">
        <f>A1</f>
        <v>44196</v>
      </c>
      <c r="E2" s="36">
        <f>+A1</f>
        <v>44196</v>
      </c>
    </row>
    <row r="3" spans="1:5" ht="15.75" customHeight="1">
      <c r="A3" s="69"/>
      <c r="B3" s="32" t="s">
        <v>29</v>
      </c>
      <c r="C3" s="33" t="s">
        <v>30</v>
      </c>
      <c r="D3" s="37" t="s">
        <v>31</v>
      </c>
      <c r="E3" s="37" t="s">
        <v>32</v>
      </c>
    </row>
    <row r="4" spans="1:5" ht="15.75" customHeight="1">
      <c r="A4" s="66" t="s">
        <v>6</v>
      </c>
      <c r="B4" s="32" t="s">
        <v>33</v>
      </c>
      <c r="C4" s="22"/>
      <c r="D4" s="29" t="s">
        <v>586</v>
      </c>
      <c r="E4" s="29" t="s">
        <v>628</v>
      </c>
    </row>
    <row r="5" spans="2:5" ht="15.75" customHeight="1">
      <c r="B5" s="32" t="s">
        <v>35</v>
      </c>
      <c r="C5" s="33" t="s">
        <v>139</v>
      </c>
      <c r="D5" s="29"/>
      <c r="E5" s="29"/>
    </row>
    <row r="6" spans="1:11" s="12" customFormat="1" ht="15.75" customHeight="1">
      <c r="A6" s="67" t="s">
        <v>7</v>
      </c>
      <c r="B6" s="41" t="s">
        <v>34</v>
      </c>
      <c r="C6" s="38" t="s">
        <v>139</v>
      </c>
      <c r="D6" s="48"/>
      <c r="E6" s="48"/>
      <c r="F6" s="30">
        <v>2023</v>
      </c>
      <c r="K6" s="8"/>
    </row>
    <row r="7" spans="1:12" s="13" customFormat="1" ht="12.75">
      <c r="A7" s="65" t="s">
        <v>177</v>
      </c>
      <c r="B7" s="75"/>
      <c r="C7" s="75"/>
      <c r="D7" s="13" t="s">
        <v>3</v>
      </c>
      <c r="E7" s="13" t="s">
        <v>3</v>
      </c>
      <c r="K7" s="76"/>
      <c r="L7" s="76"/>
    </row>
    <row r="8" spans="1:12" ht="12.75">
      <c r="A8" s="74" t="s">
        <v>7</v>
      </c>
      <c r="B8" s="66"/>
      <c r="C8" s="66"/>
      <c r="D8" s="23" t="s">
        <v>36</v>
      </c>
      <c r="E8" s="23" t="s">
        <v>36</v>
      </c>
      <c r="L8" s="76"/>
    </row>
    <row r="9" spans="1:12" ht="12.75">
      <c r="A9" s="66" t="s">
        <v>8</v>
      </c>
      <c r="B9" s="219"/>
      <c r="C9" s="66"/>
      <c r="D9" s="26" t="s">
        <v>39</v>
      </c>
      <c r="E9" s="26" t="s">
        <v>39</v>
      </c>
      <c r="F9" s="231">
        <v>6008.3829481</v>
      </c>
      <c r="H9" s="257"/>
      <c r="I9" s="231"/>
      <c r="L9" s="76"/>
    </row>
    <row r="10" spans="1:12" ht="12.75">
      <c r="A10" s="66" t="s">
        <v>8</v>
      </c>
      <c r="B10" s="219"/>
      <c r="C10" s="66"/>
      <c r="D10" s="26" t="s">
        <v>41</v>
      </c>
      <c r="E10" s="26" t="s">
        <v>41</v>
      </c>
      <c r="F10" s="231">
        <v>3537.2293336</v>
      </c>
      <c r="H10" s="257"/>
      <c r="I10" s="231"/>
      <c r="L10" s="76"/>
    </row>
    <row r="11" spans="1:12" ht="12.75">
      <c r="A11" s="66" t="s">
        <v>8</v>
      </c>
      <c r="B11" s="219"/>
      <c r="C11" s="66"/>
      <c r="D11" s="26" t="s">
        <v>38</v>
      </c>
      <c r="E11" s="56" t="s">
        <v>624</v>
      </c>
      <c r="F11" s="231">
        <v>4227.038406299999</v>
      </c>
      <c r="H11" s="257"/>
      <c r="I11" s="231"/>
      <c r="L11" s="76"/>
    </row>
    <row r="12" spans="1:12" ht="12.75">
      <c r="A12" s="66" t="s">
        <v>8</v>
      </c>
      <c r="B12" s="219"/>
      <c r="C12" s="66"/>
      <c r="D12" s="26" t="s">
        <v>42</v>
      </c>
      <c r="E12" s="26" t="s">
        <v>38</v>
      </c>
      <c r="F12" s="231">
        <v>3681.9596453999998</v>
      </c>
      <c r="H12" s="257"/>
      <c r="I12" s="231"/>
      <c r="L12" s="76"/>
    </row>
    <row r="13" spans="1:12" ht="12.75">
      <c r="A13" s="66" t="s">
        <v>8</v>
      </c>
      <c r="B13" s="219"/>
      <c r="C13" s="66"/>
      <c r="D13" s="26" t="s">
        <v>37</v>
      </c>
      <c r="E13" s="26" t="s">
        <v>37</v>
      </c>
      <c r="F13" s="231">
        <v>3614.6427639</v>
      </c>
      <c r="H13" s="257"/>
      <c r="I13" s="231"/>
      <c r="L13" s="76"/>
    </row>
    <row r="14" spans="1:12" ht="12.75">
      <c r="A14" s="66" t="s">
        <v>8</v>
      </c>
      <c r="B14" s="219"/>
      <c r="C14" s="66"/>
      <c r="D14" s="26" t="s">
        <v>44</v>
      </c>
      <c r="E14" s="26" t="s">
        <v>44</v>
      </c>
      <c r="F14" s="231">
        <v>4397.8369729</v>
      </c>
      <c r="H14" s="257"/>
      <c r="I14" s="231"/>
      <c r="L14" s="76"/>
    </row>
    <row r="15" spans="1:12" ht="12.75">
      <c r="A15" s="66" t="s">
        <v>8</v>
      </c>
      <c r="B15" s="219"/>
      <c r="C15" s="66"/>
      <c r="D15" s="26"/>
      <c r="E15" s="26" t="s">
        <v>47</v>
      </c>
      <c r="F15" s="231">
        <v>2286.0433052</v>
      </c>
      <c r="H15" s="257"/>
      <c r="I15" s="231"/>
      <c r="L15" s="76"/>
    </row>
    <row r="16" spans="1:12" ht="12.75">
      <c r="A16" s="66" t="s">
        <v>8</v>
      </c>
      <c r="B16" s="219"/>
      <c r="C16" s="66"/>
      <c r="D16" s="26" t="s">
        <v>47</v>
      </c>
      <c r="E16" s="26" t="s">
        <v>45</v>
      </c>
      <c r="F16" s="231">
        <v>2018.281495</v>
      </c>
      <c r="H16" s="257"/>
      <c r="I16" s="231"/>
      <c r="L16" s="76"/>
    </row>
    <row r="17" spans="1:12" ht="12.75">
      <c r="A17" s="66" t="s">
        <v>8</v>
      </c>
      <c r="B17" s="219"/>
      <c r="C17" s="66"/>
      <c r="D17" s="26" t="s">
        <v>50</v>
      </c>
      <c r="E17" s="26" t="s">
        <v>50</v>
      </c>
      <c r="F17" s="231">
        <v>1724.7814949</v>
      </c>
      <c r="H17" s="257"/>
      <c r="I17" s="231"/>
      <c r="L17" s="76"/>
    </row>
    <row r="18" spans="1:12" ht="12.75">
      <c r="A18" s="66" t="s">
        <v>8</v>
      </c>
      <c r="B18" s="219"/>
      <c r="C18" s="66"/>
      <c r="D18" s="26" t="s">
        <v>45</v>
      </c>
      <c r="E18" s="26" t="s">
        <v>40</v>
      </c>
      <c r="F18" s="231">
        <v>1307.8071611999999</v>
      </c>
      <c r="H18" s="257"/>
      <c r="I18" s="231"/>
      <c r="L18" s="76"/>
    </row>
    <row r="19" spans="1:12" ht="12.75">
      <c r="A19" s="66" t="s">
        <v>8</v>
      </c>
      <c r="B19" s="219"/>
      <c r="C19" s="66"/>
      <c r="D19" s="26" t="s">
        <v>40</v>
      </c>
      <c r="E19" s="26" t="s">
        <v>43</v>
      </c>
      <c r="F19" s="231">
        <v>754.0454155</v>
      </c>
      <c r="H19" s="257"/>
      <c r="I19" s="231"/>
      <c r="L19" s="76"/>
    </row>
    <row r="20" spans="1:12" ht="12.75">
      <c r="A20" s="66" t="s">
        <v>8</v>
      </c>
      <c r="B20" s="219"/>
      <c r="C20" s="66"/>
      <c r="D20" s="26" t="s">
        <v>43</v>
      </c>
      <c r="E20" s="26" t="s">
        <v>46</v>
      </c>
      <c r="F20" s="231">
        <v>887.3435239</v>
      </c>
      <c r="H20" s="257"/>
      <c r="I20" s="231"/>
      <c r="L20" s="76"/>
    </row>
    <row r="21" spans="1:12" ht="12.75">
      <c r="A21" s="66" t="s">
        <v>8</v>
      </c>
      <c r="B21" s="219"/>
      <c r="C21" s="66"/>
      <c r="D21" s="26" t="s">
        <v>48</v>
      </c>
      <c r="E21" s="26" t="s">
        <v>48</v>
      </c>
      <c r="F21" s="231">
        <v>802.4074867999999</v>
      </c>
      <c r="H21" s="257"/>
      <c r="I21" s="231"/>
      <c r="L21" s="76"/>
    </row>
    <row r="22" spans="1:12" ht="12.75">
      <c r="A22" s="66" t="s">
        <v>8</v>
      </c>
      <c r="B22" s="219"/>
      <c r="C22" s="66"/>
      <c r="D22" s="26" t="s">
        <v>46</v>
      </c>
      <c r="E22" s="26" t="s">
        <v>52</v>
      </c>
      <c r="F22" s="231">
        <v>399.2547515</v>
      </c>
      <c r="H22" s="257"/>
      <c r="I22" s="231"/>
      <c r="L22" s="76"/>
    </row>
    <row r="23" spans="1:12" ht="12.75">
      <c r="A23" s="66" t="s">
        <v>8</v>
      </c>
      <c r="B23" s="219"/>
      <c r="C23" s="66"/>
      <c r="D23" s="26" t="s">
        <v>52</v>
      </c>
      <c r="E23" s="26" t="s">
        <v>51</v>
      </c>
      <c r="F23" s="231">
        <v>256.7324207</v>
      </c>
      <c r="H23" s="257"/>
      <c r="I23" s="231"/>
      <c r="L23" s="76"/>
    </row>
    <row r="24" spans="1:12" ht="12.75">
      <c r="A24" s="66" t="s">
        <v>8</v>
      </c>
      <c r="B24" s="219"/>
      <c r="C24" s="66"/>
      <c r="D24" s="26" t="s">
        <v>51</v>
      </c>
      <c r="E24" s="26" t="s">
        <v>49</v>
      </c>
      <c r="F24" s="231">
        <v>206.51653969999998</v>
      </c>
      <c r="H24" s="257"/>
      <c r="I24" s="231"/>
      <c r="L24" s="76"/>
    </row>
    <row r="25" spans="1:12" ht="12.75">
      <c r="A25" s="66" t="s">
        <v>8</v>
      </c>
      <c r="B25" s="219"/>
      <c r="C25" s="66"/>
      <c r="D25" s="26" t="s">
        <v>49</v>
      </c>
      <c r="E25" s="26" t="s">
        <v>53</v>
      </c>
      <c r="F25" s="231">
        <v>254.7238954</v>
      </c>
      <c r="H25" s="257"/>
      <c r="I25" s="231"/>
      <c r="L25" s="76"/>
    </row>
    <row r="26" spans="1:12" ht="12.75">
      <c r="A26" s="66" t="s">
        <v>8</v>
      </c>
      <c r="B26" s="219"/>
      <c r="C26" s="66"/>
      <c r="D26" s="26" t="s">
        <v>53</v>
      </c>
      <c r="E26" s="26" t="s">
        <v>111</v>
      </c>
      <c r="F26" s="231">
        <v>60.7071586</v>
      </c>
      <c r="H26" s="257"/>
      <c r="I26" s="231"/>
      <c r="L26" s="76"/>
    </row>
    <row r="27" spans="1:11" s="24" customFormat="1" ht="14.25">
      <c r="A27" s="74" t="s">
        <v>1</v>
      </c>
      <c r="B27" s="74"/>
      <c r="C27" s="74"/>
      <c r="D27" s="23" t="s">
        <v>54</v>
      </c>
      <c r="E27" s="23" t="s">
        <v>54</v>
      </c>
      <c r="F27" s="222">
        <f>SUM(F9:F26)</f>
        <v>36425.7347186</v>
      </c>
      <c r="K27" s="25"/>
    </row>
    <row r="28" spans="1:5" ht="12.75">
      <c r="A28" s="66" t="s">
        <v>10</v>
      </c>
      <c r="B28" s="66"/>
      <c r="C28" s="66"/>
      <c r="D28" s="26"/>
      <c r="E28" s="26"/>
    </row>
    <row r="29" spans="1:6" s="12" customFormat="1" ht="12.75">
      <c r="A29" s="67" t="s">
        <v>7</v>
      </c>
      <c r="B29" s="67"/>
      <c r="C29" s="67"/>
      <c r="D29" s="47" t="s">
        <v>55</v>
      </c>
      <c r="E29" s="47" t="s">
        <v>55</v>
      </c>
      <c r="F29" s="44">
        <f>+F6</f>
        <v>2023</v>
      </c>
    </row>
    <row r="30" spans="1:12" ht="12.75">
      <c r="A30" s="66" t="s">
        <v>8</v>
      </c>
      <c r="B30" s="66"/>
      <c r="C30" s="66"/>
      <c r="D30" s="26" t="s">
        <v>58</v>
      </c>
      <c r="E30" s="26" t="s">
        <v>58</v>
      </c>
      <c r="F30" s="231">
        <v>3192.4503598000006</v>
      </c>
      <c r="G30" s="24"/>
      <c r="H30" s="257"/>
      <c r="I30" s="231"/>
      <c r="J30" s="16"/>
      <c r="K30" s="25"/>
      <c r="L30" s="76"/>
    </row>
    <row r="31" spans="1:12" ht="12.75">
      <c r="A31" s="66" t="s">
        <v>8</v>
      </c>
      <c r="B31" s="66"/>
      <c r="C31" s="66"/>
      <c r="D31" s="26" t="s">
        <v>60</v>
      </c>
      <c r="E31" s="26" t="s">
        <v>59</v>
      </c>
      <c r="F31" s="231">
        <v>1073.4140243</v>
      </c>
      <c r="H31" s="257"/>
      <c r="I31" s="231"/>
      <c r="L31" s="76"/>
    </row>
    <row r="32" spans="1:11" ht="12.75">
      <c r="A32" s="66" t="s">
        <v>8</v>
      </c>
      <c r="B32" s="66"/>
      <c r="C32" s="66"/>
      <c r="D32" s="26" t="s">
        <v>59</v>
      </c>
      <c r="E32" s="26" t="s">
        <v>61</v>
      </c>
      <c r="F32" s="231">
        <v>839.737122</v>
      </c>
      <c r="H32" s="257"/>
      <c r="I32" s="231"/>
      <c r="K32" s="6"/>
    </row>
    <row r="33" spans="1:11" ht="12.75">
      <c r="A33" s="66" t="s">
        <v>8</v>
      </c>
      <c r="B33" s="66"/>
      <c r="C33" s="66"/>
      <c r="D33" s="26" t="s">
        <v>56</v>
      </c>
      <c r="E33" s="26" t="s">
        <v>56</v>
      </c>
      <c r="F33" s="231">
        <v>725.0495095</v>
      </c>
      <c r="H33" s="257"/>
      <c r="I33" s="231"/>
      <c r="K33" s="6"/>
    </row>
    <row r="34" spans="1:12" ht="12.75">
      <c r="A34" s="66" t="s">
        <v>8</v>
      </c>
      <c r="B34" s="66"/>
      <c r="C34" s="66"/>
      <c r="D34" s="26" t="s">
        <v>61</v>
      </c>
      <c r="E34" s="26" t="s">
        <v>57</v>
      </c>
      <c r="F34" s="231">
        <v>724.088088</v>
      </c>
      <c r="H34" s="257"/>
      <c r="I34" s="231"/>
      <c r="L34" s="76"/>
    </row>
    <row r="35" spans="1:12" ht="12.75">
      <c r="A35" s="66" t="s">
        <v>8</v>
      </c>
      <c r="B35" s="66"/>
      <c r="C35" s="66"/>
      <c r="D35" s="26" t="s">
        <v>57</v>
      </c>
      <c r="E35" s="56" t="s">
        <v>602</v>
      </c>
      <c r="F35" s="231">
        <v>585.3001054</v>
      </c>
      <c r="H35" s="257"/>
      <c r="I35" s="231"/>
      <c r="L35" s="76"/>
    </row>
    <row r="36" spans="1:12" ht="12.75">
      <c r="A36" s="66" t="s">
        <v>8</v>
      </c>
      <c r="B36" s="66"/>
      <c r="C36" s="66"/>
      <c r="D36" s="26" t="s">
        <v>63</v>
      </c>
      <c r="E36" s="26" t="s">
        <v>62</v>
      </c>
      <c r="F36" s="231">
        <v>504.1915282</v>
      </c>
      <c r="H36" s="257"/>
      <c r="I36" s="231"/>
      <c r="L36" s="76"/>
    </row>
    <row r="37" spans="1:12" ht="12.75">
      <c r="A37" s="66" t="s">
        <v>8</v>
      </c>
      <c r="B37" s="66"/>
      <c r="C37" s="66"/>
      <c r="D37" s="56" t="s">
        <v>602</v>
      </c>
      <c r="E37" s="26" t="s">
        <v>63</v>
      </c>
      <c r="F37" s="231">
        <v>375.5665707</v>
      </c>
      <c r="H37" s="257"/>
      <c r="I37" s="231"/>
      <c r="L37" s="76"/>
    </row>
    <row r="38" spans="1:12" ht="12.75">
      <c r="A38" s="66" t="s">
        <v>8</v>
      </c>
      <c r="B38" s="66"/>
      <c r="C38" s="66"/>
      <c r="D38" s="26" t="s">
        <v>65</v>
      </c>
      <c r="E38" s="26" t="s">
        <v>64</v>
      </c>
      <c r="F38" s="231">
        <v>261.1057587</v>
      </c>
      <c r="H38" s="257"/>
      <c r="I38" s="231"/>
      <c r="L38" s="76"/>
    </row>
    <row r="39" spans="1:12" ht="12.75">
      <c r="A39" s="66" t="s">
        <v>8</v>
      </c>
      <c r="B39" s="66"/>
      <c r="C39" s="66"/>
      <c r="D39" s="26" t="s">
        <v>62</v>
      </c>
      <c r="E39" s="26" t="s">
        <v>65</v>
      </c>
      <c r="F39" s="231">
        <v>258.5123733</v>
      </c>
      <c r="H39" s="257"/>
      <c r="I39" s="231"/>
      <c r="L39" s="76"/>
    </row>
    <row r="40" spans="1:12" ht="12.75">
      <c r="A40" s="66" t="s">
        <v>8</v>
      </c>
      <c r="B40" s="66"/>
      <c r="C40" s="66"/>
      <c r="D40" s="26" t="s">
        <v>64</v>
      </c>
      <c r="E40" s="26" t="s">
        <v>18</v>
      </c>
      <c r="F40" s="231">
        <v>223.4218968</v>
      </c>
      <c r="H40" s="257"/>
      <c r="I40" s="231"/>
      <c r="L40" s="76"/>
    </row>
    <row r="41" spans="1:12" ht="12.75">
      <c r="A41" s="66" t="s">
        <v>8</v>
      </c>
      <c r="B41" s="66"/>
      <c r="C41" s="66"/>
      <c r="D41" s="26" t="s">
        <v>18</v>
      </c>
      <c r="E41" s="26" t="s">
        <v>60</v>
      </c>
      <c r="F41" s="231">
        <v>19.3091536</v>
      </c>
      <c r="H41" s="257"/>
      <c r="I41" s="231"/>
      <c r="L41" s="76"/>
    </row>
    <row r="42" spans="1:6" s="24" customFormat="1" ht="12.75">
      <c r="A42" s="74" t="s">
        <v>1</v>
      </c>
      <c r="B42" s="74"/>
      <c r="C42" s="74"/>
      <c r="D42" s="23" t="s">
        <v>66</v>
      </c>
      <c r="E42" s="23" t="s">
        <v>66</v>
      </c>
      <c r="F42" s="25">
        <f>SUM(F30:F41)</f>
        <v>8782.146490299998</v>
      </c>
    </row>
    <row r="43" spans="1:9" s="24" customFormat="1" ht="12.75">
      <c r="A43" s="74" t="s">
        <v>1</v>
      </c>
      <c r="B43" s="74"/>
      <c r="C43" s="74"/>
      <c r="D43" s="23" t="s">
        <v>67</v>
      </c>
      <c r="E43" s="23" t="s">
        <v>67</v>
      </c>
      <c r="F43" s="25">
        <f>+F42+F27</f>
        <v>45207.8812089</v>
      </c>
      <c r="H43" s="25"/>
      <c r="I43" s="25"/>
    </row>
    <row r="44" spans="1:12" ht="12.75">
      <c r="A44" s="66" t="s">
        <v>10</v>
      </c>
      <c r="B44" s="66"/>
      <c r="C44" s="66"/>
      <c r="D44" s="26"/>
      <c r="E44" s="26"/>
      <c r="L44" s="76"/>
    </row>
    <row r="45" spans="1:12" s="12" customFormat="1" ht="12.75">
      <c r="A45" s="67" t="s">
        <v>7</v>
      </c>
      <c r="B45" s="67"/>
      <c r="C45" s="67"/>
      <c r="D45" s="47" t="s">
        <v>68</v>
      </c>
      <c r="E45" s="47" t="s">
        <v>68</v>
      </c>
      <c r="F45" s="44">
        <f>+F6</f>
        <v>2023</v>
      </c>
      <c r="G45" s="44"/>
      <c r="H45" s="44"/>
      <c r="I45" s="44"/>
      <c r="J45" s="44"/>
      <c r="K45" s="44"/>
      <c r="L45" s="44"/>
    </row>
    <row r="46" spans="1:12" ht="13.5">
      <c r="A46" s="66" t="s">
        <v>8</v>
      </c>
      <c r="B46" s="66"/>
      <c r="C46" s="66"/>
      <c r="D46" s="26" t="s">
        <v>69</v>
      </c>
      <c r="E46" s="26" t="s">
        <v>69</v>
      </c>
      <c r="F46" s="231">
        <v>40644.0222154</v>
      </c>
      <c r="G46" s="235"/>
      <c r="H46" s="235"/>
      <c r="I46" s="235"/>
      <c r="J46" s="235"/>
      <c r="K46" s="235"/>
      <c r="L46" s="235"/>
    </row>
    <row r="47" spans="1:12" ht="13.5">
      <c r="A47" s="66" t="s">
        <v>8</v>
      </c>
      <c r="B47" s="66"/>
      <c r="C47" s="66"/>
      <c r="D47" s="26" t="s">
        <v>70</v>
      </c>
      <c r="E47" s="26" t="s">
        <v>70</v>
      </c>
      <c r="F47" s="231">
        <v>4687.377276499999</v>
      </c>
      <c r="G47" s="235"/>
      <c r="H47" s="257"/>
      <c r="I47" s="231"/>
      <c r="J47" s="235"/>
      <c r="K47" s="235"/>
      <c r="L47" s="235"/>
    </row>
    <row r="48" spans="1:12" s="24" customFormat="1" ht="12.75">
      <c r="A48" s="74" t="s">
        <v>1</v>
      </c>
      <c r="B48" s="74"/>
      <c r="C48" s="74"/>
      <c r="D48" s="23" t="s">
        <v>71</v>
      </c>
      <c r="E48" s="23" t="s">
        <v>71</v>
      </c>
      <c r="F48" s="25">
        <f>SUM(F46:F47)</f>
        <v>45331.399491899996</v>
      </c>
      <c r="G48" s="25"/>
      <c r="H48" s="257"/>
      <c r="I48" s="231"/>
      <c r="J48" s="25"/>
      <c r="K48" s="25"/>
      <c r="L48" s="25"/>
    </row>
    <row r="49" spans="1:11" ht="12.75">
      <c r="A49" s="66" t="s">
        <v>10</v>
      </c>
      <c r="B49" s="66"/>
      <c r="C49" s="66"/>
      <c r="D49" s="26"/>
      <c r="E49" s="26"/>
      <c r="K49" s="6"/>
    </row>
    <row r="50" spans="1:12" s="12" customFormat="1" ht="12.75">
      <c r="A50" s="67" t="s">
        <v>7</v>
      </c>
      <c r="B50" s="67"/>
      <c r="C50" s="67"/>
      <c r="D50" s="47" t="s">
        <v>72</v>
      </c>
      <c r="E50" s="47" t="s">
        <v>72</v>
      </c>
      <c r="F50" s="44">
        <f>+F6</f>
        <v>2023</v>
      </c>
      <c r="G50" s="44"/>
      <c r="H50" s="44"/>
      <c r="I50" s="44"/>
      <c r="J50" s="44"/>
      <c r="K50" s="44"/>
      <c r="L50" s="44"/>
    </row>
    <row r="51" spans="1:12" ht="12.75">
      <c r="A51" s="66" t="s">
        <v>8</v>
      </c>
      <c r="B51" s="66"/>
      <c r="C51" s="66"/>
      <c r="D51" s="26" t="s">
        <v>73</v>
      </c>
      <c r="E51" s="26" t="s">
        <v>73</v>
      </c>
      <c r="F51" s="231">
        <v>20682.1253094</v>
      </c>
      <c r="G51" s="76"/>
      <c r="H51" s="257"/>
      <c r="I51" s="231"/>
      <c r="J51" s="76"/>
      <c r="K51" s="76"/>
      <c r="L51" s="76"/>
    </row>
    <row r="52" spans="1:12" ht="12.75">
      <c r="A52" s="66" t="s">
        <v>8</v>
      </c>
      <c r="B52" s="66"/>
      <c r="C52" s="66"/>
      <c r="D52" s="26" t="s">
        <v>81</v>
      </c>
      <c r="E52" s="26" t="s">
        <v>77</v>
      </c>
      <c r="F52" s="231">
        <v>2702.6853071</v>
      </c>
      <c r="G52" s="76"/>
      <c r="H52" s="257"/>
      <c r="I52" s="231"/>
      <c r="J52" s="76"/>
      <c r="K52" s="76"/>
      <c r="L52" s="76"/>
    </row>
    <row r="53" spans="1:12" ht="12.75">
      <c r="A53" s="66" t="s">
        <v>8</v>
      </c>
      <c r="B53" s="66"/>
      <c r="C53" s="66"/>
      <c r="D53" s="26" t="s">
        <v>77</v>
      </c>
      <c r="E53" s="26" t="s">
        <v>81</v>
      </c>
      <c r="F53" s="231">
        <v>1905.0012399</v>
      </c>
      <c r="G53" s="76"/>
      <c r="H53" s="257"/>
      <c r="I53" s="231"/>
      <c r="J53" s="76"/>
      <c r="K53" s="76"/>
      <c r="L53" s="76"/>
    </row>
    <row r="54" spans="1:12" ht="12.75">
      <c r="A54" s="66" t="s">
        <v>8</v>
      </c>
      <c r="B54" s="66"/>
      <c r="C54" s="66"/>
      <c r="D54" s="26" t="s">
        <v>76</v>
      </c>
      <c r="E54" s="26" t="s">
        <v>75</v>
      </c>
      <c r="F54" s="231">
        <v>472.5192698</v>
      </c>
      <c r="G54" s="76"/>
      <c r="H54" s="257"/>
      <c r="I54" s="231"/>
      <c r="J54" s="76"/>
      <c r="K54" s="76"/>
      <c r="L54" s="76"/>
    </row>
    <row r="55" spans="1:12" ht="12.75">
      <c r="A55" s="66" t="s">
        <v>8</v>
      </c>
      <c r="B55" s="66"/>
      <c r="C55" s="66"/>
      <c r="D55" s="26" t="s">
        <v>78</v>
      </c>
      <c r="E55" s="26" t="s">
        <v>76</v>
      </c>
      <c r="F55" s="231">
        <v>422.40209369999997</v>
      </c>
      <c r="G55" s="76"/>
      <c r="H55" s="257"/>
      <c r="I55" s="231"/>
      <c r="J55" s="76"/>
      <c r="K55" s="76"/>
      <c r="L55" s="76"/>
    </row>
    <row r="56" spans="1:12" ht="12.75">
      <c r="A56" s="66" t="s">
        <v>8</v>
      </c>
      <c r="B56" s="66"/>
      <c r="C56" s="66"/>
      <c r="D56" s="26" t="s">
        <v>75</v>
      </c>
      <c r="E56" s="26" t="s">
        <v>78</v>
      </c>
      <c r="F56" s="231">
        <v>343.4012542</v>
      </c>
      <c r="G56" s="76"/>
      <c r="H56" s="257"/>
      <c r="I56" s="231"/>
      <c r="J56" s="76"/>
      <c r="K56" s="76"/>
      <c r="L56" s="76"/>
    </row>
    <row r="57" spans="1:12" ht="12.75">
      <c r="A57" s="66" t="s">
        <v>8</v>
      </c>
      <c r="B57" s="66"/>
      <c r="C57" s="66"/>
      <c r="D57" s="26" t="s">
        <v>74</v>
      </c>
      <c r="E57" s="26" t="s">
        <v>82</v>
      </c>
      <c r="F57" s="231">
        <v>160.7540038</v>
      </c>
      <c r="G57" s="76"/>
      <c r="H57" s="257"/>
      <c r="I57" s="231"/>
      <c r="J57" s="76"/>
      <c r="K57" s="76"/>
      <c r="L57" s="76"/>
    </row>
    <row r="58" spans="1:12" ht="12.75">
      <c r="A58" s="66" t="s">
        <v>8</v>
      </c>
      <c r="B58" s="66"/>
      <c r="C58" s="66"/>
      <c r="D58" s="26" t="s">
        <v>79</v>
      </c>
      <c r="E58" s="26" t="s">
        <v>74</v>
      </c>
      <c r="F58" s="231">
        <v>93.07905749999999</v>
      </c>
      <c r="G58" s="76"/>
      <c r="H58" s="257"/>
      <c r="I58" s="231"/>
      <c r="J58" s="76"/>
      <c r="K58" s="76"/>
      <c r="L58" s="76"/>
    </row>
    <row r="59" spans="1:12" ht="12.75">
      <c r="A59" s="66" t="s">
        <v>8</v>
      </c>
      <c r="B59" s="66"/>
      <c r="C59" s="66"/>
      <c r="D59" s="26" t="s">
        <v>80</v>
      </c>
      <c r="E59" s="26" t="s">
        <v>79</v>
      </c>
      <c r="F59" s="231">
        <v>34.2577818</v>
      </c>
      <c r="H59" s="257"/>
      <c r="I59" s="231"/>
      <c r="L59" s="76"/>
    </row>
    <row r="60" spans="1:12" ht="12.75">
      <c r="A60" s="66" t="s">
        <v>8</v>
      </c>
      <c r="B60" s="66"/>
      <c r="C60" s="66"/>
      <c r="D60" s="26" t="s">
        <v>82</v>
      </c>
      <c r="E60" s="26" t="s">
        <v>80</v>
      </c>
      <c r="F60" s="231">
        <v>6.1625267</v>
      </c>
      <c r="H60" s="257"/>
      <c r="I60" s="231"/>
      <c r="L60" s="76"/>
    </row>
    <row r="61" spans="1:12" ht="12.75">
      <c r="A61" s="66" t="s">
        <v>8</v>
      </c>
      <c r="B61" s="66"/>
      <c r="C61" s="66"/>
      <c r="D61" s="26" t="s">
        <v>18</v>
      </c>
      <c r="E61" s="26" t="s">
        <v>18</v>
      </c>
      <c r="F61" s="231">
        <v>1950.3952079</v>
      </c>
      <c r="H61" s="257"/>
      <c r="I61" s="231"/>
      <c r="L61" s="76"/>
    </row>
    <row r="62" spans="1:9" s="24" customFormat="1" ht="14.25">
      <c r="A62" s="74" t="s">
        <v>1</v>
      </c>
      <c r="B62" s="74"/>
      <c r="C62" s="74"/>
      <c r="D62" s="23" t="s">
        <v>83</v>
      </c>
      <c r="E62" s="23" t="s">
        <v>83</v>
      </c>
      <c r="F62" s="222">
        <f>SUM(F51:F61)</f>
        <v>28772.783051799997</v>
      </c>
      <c r="H62" s="25"/>
      <c r="I62" s="25"/>
    </row>
    <row r="63" spans="1:5" ht="12.75">
      <c r="A63" s="66" t="s">
        <v>10</v>
      </c>
      <c r="B63" s="66"/>
      <c r="C63" s="66"/>
      <c r="D63" s="26"/>
      <c r="E63" s="26"/>
    </row>
    <row r="64" spans="1:12" s="12" customFormat="1" ht="12.75">
      <c r="A64" s="67" t="s">
        <v>7</v>
      </c>
      <c r="B64" s="67"/>
      <c r="C64" s="67"/>
      <c r="D64" s="47" t="s">
        <v>84</v>
      </c>
      <c r="E64" s="47" t="s">
        <v>84</v>
      </c>
      <c r="F64" s="44">
        <f>+F6</f>
        <v>2023</v>
      </c>
      <c r="G64" s="44"/>
      <c r="H64" s="44"/>
      <c r="I64" s="44"/>
      <c r="J64" s="44"/>
      <c r="K64" s="44"/>
      <c r="L64" s="44"/>
    </row>
    <row r="65" spans="1:12" ht="12.75">
      <c r="A65" s="66" t="s">
        <v>7</v>
      </c>
      <c r="B65" s="66"/>
      <c r="C65" s="66"/>
      <c r="D65" s="23" t="s">
        <v>85</v>
      </c>
      <c r="E65" s="23" t="s">
        <v>85</v>
      </c>
      <c r="F65" s="7"/>
      <c r="J65" s="24"/>
      <c r="K65" s="25"/>
      <c r="L65" s="234"/>
    </row>
    <row r="66" spans="1:12" ht="12.75">
      <c r="A66" s="66" t="s">
        <v>8</v>
      </c>
      <c r="B66" s="66"/>
      <c r="C66" s="66"/>
      <c r="D66" s="26" t="s">
        <v>89</v>
      </c>
      <c r="E66" s="56" t="s">
        <v>93</v>
      </c>
      <c r="F66" s="231">
        <v>1055.0513529</v>
      </c>
      <c r="H66" s="257"/>
      <c r="I66" s="231"/>
      <c r="L66" s="76"/>
    </row>
    <row r="67" spans="1:12" ht="12.75">
      <c r="A67" s="66" t="s">
        <v>8</v>
      </c>
      <c r="B67" s="66"/>
      <c r="C67" s="66"/>
      <c r="D67" s="26" t="s">
        <v>93</v>
      </c>
      <c r="E67" s="26" t="s">
        <v>89</v>
      </c>
      <c r="F67" s="231">
        <v>894.7917876</v>
      </c>
      <c r="H67" s="257"/>
      <c r="I67" s="231"/>
      <c r="L67" s="76"/>
    </row>
    <row r="68" spans="1:12" ht="12.75">
      <c r="A68" s="66" t="s">
        <v>8</v>
      </c>
      <c r="B68" s="66"/>
      <c r="C68" s="66"/>
      <c r="D68" s="26" t="s">
        <v>86</v>
      </c>
      <c r="E68" s="26" t="s">
        <v>97</v>
      </c>
      <c r="F68" s="231">
        <v>621.5479660000001</v>
      </c>
      <c r="H68" s="257"/>
      <c r="I68" s="231"/>
      <c r="L68" s="76"/>
    </row>
    <row r="69" spans="1:12" ht="12.75">
      <c r="A69" s="66" t="s">
        <v>8</v>
      </c>
      <c r="B69" s="66"/>
      <c r="C69" s="66"/>
      <c r="D69" s="26" t="s">
        <v>96</v>
      </c>
      <c r="E69" s="26" t="s">
        <v>88</v>
      </c>
      <c r="F69" s="231">
        <v>524.9676196</v>
      </c>
      <c r="H69" s="257"/>
      <c r="I69" s="231"/>
      <c r="L69" s="76"/>
    </row>
    <row r="70" spans="1:12" ht="12.75">
      <c r="A70" s="66" t="s">
        <v>8</v>
      </c>
      <c r="B70" s="66"/>
      <c r="C70" s="66"/>
      <c r="D70" s="26" t="s">
        <v>88</v>
      </c>
      <c r="E70" s="26" t="s">
        <v>86</v>
      </c>
      <c r="F70" s="231">
        <v>492.1797588</v>
      </c>
      <c r="G70" s="7"/>
      <c r="H70" s="257"/>
      <c r="I70" s="231"/>
      <c r="J70" s="7"/>
      <c r="L70" s="7"/>
    </row>
    <row r="71" spans="1:12" ht="12.75">
      <c r="A71" s="66" t="s">
        <v>8</v>
      </c>
      <c r="B71" s="66"/>
      <c r="C71" s="66"/>
      <c r="D71" s="26" t="s">
        <v>90</v>
      </c>
      <c r="E71" s="26" t="s">
        <v>91</v>
      </c>
      <c r="F71" s="231">
        <v>347.6257435</v>
      </c>
      <c r="G71" s="7"/>
      <c r="H71" s="257"/>
      <c r="I71" s="231"/>
      <c r="J71" s="7"/>
      <c r="L71" s="7"/>
    </row>
    <row r="72" spans="1:12" ht="12.75">
      <c r="A72" s="66" t="s">
        <v>8</v>
      </c>
      <c r="B72" s="66"/>
      <c r="C72" s="66"/>
      <c r="D72" s="26" t="s">
        <v>91</v>
      </c>
      <c r="E72" s="26" t="s">
        <v>92</v>
      </c>
      <c r="F72" s="231">
        <v>297.6359059</v>
      </c>
      <c r="G72" s="7"/>
      <c r="H72" s="257"/>
      <c r="I72" s="231"/>
      <c r="J72" s="7"/>
      <c r="L72" s="7"/>
    </row>
    <row r="73" spans="1:12" ht="12.75">
      <c r="A73" s="66" t="s">
        <v>8</v>
      </c>
      <c r="B73" s="66"/>
      <c r="C73" s="66"/>
      <c r="D73" s="26" t="s">
        <v>97</v>
      </c>
      <c r="E73" s="26" t="s">
        <v>96</v>
      </c>
      <c r="F73" s="231">
        <v>243.8267137</v>
      </c>
      <c r="G73" s="7"/>
      <c r="H73" s="257"/>
      <c r="I73" s="231"/>
      <c r="J73" s="7"/>
      <c r="L73" s="7"/>
    </row>
    <row r="74" spans="1:12" ht="12.75">
      <c r="A74" s="66" t="s">
        <v>8</v>
      </c>
      <c r="B74" s="66"/>
      <c r="C74" s="66"/>
      <c r="D74" s="26" t="s">
        <v>92</v>
      </c>
      <c r="E74" s="26" t="s">
        <v>95</v>
      </c>
      <c r="F74" s="231">
        <v>169.9225308</v>
      </c>
      <c r="H74" s="257"/>
      <c r="I74" s="231"/>
      <c r="L74" s="76"/>
    </row>
    <row r="75" spans="1:12" ht="12.75">
      <c r="A75" s="66" t="s">
        <v>8</v>
      </c>
      <c r="B75" s="66"/>
      <c r="C75" s="66"/>
      <c r="D75" s="26" t="s">
        <v>95</v>
      </c>
      <c r="E75" s="26" t="s">
        <v>90</v>
      </c>
      <c r="F75" s="231">
        <v>151.32822449999998</v>
      </c>
      <c r="H75" s="257"/>
      <c r="I75" s="231"/>
      <c r="L75" s="76"/>
    </row>
    <row r="76" spans="1:12" ht="12.75">
      <c r="A76" s="66" t="s">
        <v>8</v>
      </c>
      <c r="B76" s="66"/>
      <c r="C76" s="66"/>
      <c r="D76" s="26" t="s">
        <v>87</v>
      </c>
      <c r="E76" s="26" t="s">
        <v>87</v>
      </c>
      <c r="F76" s="231">
        <v>77.5403824</v>
      </c>
      <c r="H76" s="257"/>
      <c r="I76" s="231"/>
      <c r="L76" s="76"/>
    </row>
    <row r="77" spans="1:12" ht="12.75">
      <c r="A77" s="66" t="s">
        <v>8</v>
      </c>
      <c r="B77" s="66"/>
      <c r="C77" s="66"/>
      <c r="D77" s="26" t="s">
        <v>18</v>
      </c>
      <c r="E77" s="26" t="s">
        <v>18</v>
      </c>
      <c r="F77" s="231">
        <v>209.38982329999993</v>
      </c>
      <c r="H77" s="257"/>
      <c r="I77" s="231"/>
      <c r="L77" s="76"/>
    </row>
    <row r="78" spans="1:6" s="24" customFormat="1" ht="14.25">
      <c r="A78" s="74" t="s">
        <v>1</v>
      </c>
      <c r="B78" s="74"/>
      <c r="C78" s="74"/>
      <c r="D78" s="23" t="s">
        <v>98</v>
      </c>
      <c r="E78" s="23" t="s">
        <v>98</v>
      </c>
      <c r="F78" s="222">
        <f>SUM(F66:F77)</f>
        <v>5085.807809</v>
      </c>
    </row>
    <row r="79" spans="1:6" s="24" customFormat="1" ht="14.25">
      <c r="A79" s="66" t="s">
        <v>10</v>
      </c>
      <c r="B79" s="74"/>
      <c r="C79" s="74"/>
      <c r="D79" s="23"/>
      <c r="E79" s="23"/>
      <c r="F79" s="222"/>
    </row>
    <row r="80" spans="1:6" ht="12.75">
      <c r="A80" s="66" t="s">
        <v>7</v>
      </c>
      <c r="B80" s="66"/>
      <c r="C80" s="66"/>
      <c r="D80" s="23" t="s">
        <v>99</v>
      </c>
      <c r="E80" s="23" t="s">
        <v>99</v>
      </c>
      <c r="F80" s="231">
        <v>677.8250356</v>
      </c>
    </row>
    <row r="81" spans="1:12" s="24" customFormat="1" ht="12.75">
      <c r="A81" s="74" t="s">
        <v>1</v>
      </c>
      <c r="B81" s="74"/>
      <c r="C81" s="74"/>
      <c r="D81" s="23" t="s">
        <v>100</v>
      </c>
      <c r="E81" s="23" t="s">
        <v>100</v>
      </c>
      <c r="F81" s="25">
        <v>677.8250356</v>
      </c>
      <c r="J81" s="6"/>
      <c r="K81" s="7"/>
      <c r="L81" s="76"/>
    </row>
    <row r="82" spans="1:12" s="24" customFormat="1" ht="14.25">
      <c r="A82" s="74" t="s">
        <v>1</v>
      </c>
      <c r="B82" s="74"/>
      <c r="C82" s="74"/>
      <c r="D82" s="23" t="s">
        <v>101</v>
      </c>
      <c r="E82" s="23" t="s">
        <v>101</v>
      </c>
      <c r="F82" s="222">
        <f>+F81+F78</f>
        <v>5763.6328446</v>
      </c>
      <c r="H82" s="25"/>
      <c r="I82" s="25"/>
      <c r="J82" s="6"/>
      <c r="K82" s="7"/>
      <c r="L82" s="76"/>
    </row>
    <row r="83" spans="1:5" ht="12.75">
      <c r="A83" s="66" t="s">
        <v>10</v>
      </c>
      <c r="B83" s="66"/>
      <c r="C83" s="66"/>
      <c r="D83" s="26"/>
      <c r="E83" s="26"/>
    </row>
    <row r="84" spans="1:6" s="12" customFormat="1" ht="21.75" customHeight="1">
      <c r="A84" s="67" t="s">
        <v>7</v>
      </c>
      <c r="B84" s="67"/>
      <c r="C84" s="67"/>
      <c r="D84" s="47" t="s">
        <v>102</v>
      </c>
      <c r="E84" s="47" t="s">
        <v>102</v>
      </c>
      <c r="F84" s="44">
        <f>+F64</f>
        <v>2023</v>
      </c>
    </row>
    <row r="85" spans="1:11" ht="12.75">
      <c r="A85" s="66" t="s">
        <v>8</v>
      </c>
      <c r="B85" s="66"/>
      <c r="C85" s="66"/>
      <c r="D85" s="26" t="s">
        <v>112</v>
      </c>
      <c r="E85" s="26" t="s">
        <v>112</v>
      </c>
      <c r="F85" s="231">
        <v>1917.8873309</v>
      </c>
      <c r="K85" s="6"/>
    </row>
    <row r="86" spans="1:12" ht="12.75">
      <c r="A86" s="66" t="s">
        <v>8</v>
      </c>
      <c r="B86" s="66"/>
      <c r="C86" s="66"/>
      <c r="D86" s="26" t="s">
        <v>103</v>
      </c>
      <c r="E86" s="26" t="s">
        <v>103</v>
      </c>
      <c r="F86" s="231">
        <v>1330.6353999</v>
      </c>
      <c r="L86" s="76"/>
    </row>
    <row r="87" spans="1:12" ht="12.75">
      <c r="A87" s="66" t="s">
        <v>8</v>
      </c>
      <c r="B87" s="66"/>
      <c r="C87" s="66"/>
      <c r="D87" s="26" t="s">
        <v>18</v>
      </c>
      <c r="E87" s="56" t="s">
        <v>113</v>
      </c>
      <c r="F87" s="231">
        <v>280.6937254</v>
      </c>
      <c r="L87" s="76"/>
    </row>
    <row r="88" spans="1:12" ht="12.75">
      <c r="A88" s="66" t="s">
        <v>8</v>
      </c>
      <c r="B88" s="66"/>
      <c r="C88" s="66"/>
      <c r="D88" s="26" t="s">
        <v>18</v>
      </c>
      <c r="E88" s="56" t="s">
        <v>18</v>
      </c>
      <c r="F88" s="231">
        <v>49.0599198</v>
      </c>
      <c r="L88" s="76"/>
    </row>
    <row r="89" spans="1:12" s="24" customFormat="1" ht="14.25">
      <c r="A89" s="74" t="s">
        <v>1</v>
      </c>
      <c r="B89" s="74"/>
      <c r="C89" s="74"/>
      <c r="D89" s="23" t="s">
        <v>104</v>
      </c>
      <c r="E89" s="23" t="s">
        <v>104</v>
      </c>
      <c r="F89" s="222">
        <f>SUM(F85:F88)</f>
        <v>3578.2763760000003</v>
      </c>
      <c r="H89" s="25"/>
      <c r="I89" s="25"/>
      <c r="J89" s="6"/>
      <c r="K89" s="7"/>
      <c r="L89" s="76"/>
    </row>
    <row r="90" spans="1:12" ht="14.25">
      <c r="A90" s="66" t="s">
        <v>10</v>
      </c>
      <c r="B90" s="66"/>
      <c r="C90" s="66"/>
      <c r="D90" s="26"/>
      <c r="E90" s="26"/>
      <c r="F90" s="222"/>
      <c r="L90" s="76"/>
    </row>
    <row r="91" spans="1:12" s="12" customFormat="1" ht="12.75">
      <c r="A91" s="67" t="s">
        <v>7</v>
      </c>
      <c r="B91" s="67"/>
      <c r="C91" s="67"/>
      <c r="D91" s="47" t="s">
        <v>105</v>
      </c>
      <c r="E91" s="47" t="s">
        <v>105</v>
      </c>
      <c r="F91" s="44">
        <f>+F84</f>
        <v>2023</v>
      </c>
      <c r="J91" s="44"/>
      <c r="K91" s="236"/>
      <c r="L91" s="237"/>
    </row>
    <row r="92" spans="1:12" ht="12.75">
      <c r="A92" s="66" t="s">
        <v>8</v>
      </c>
      <c r="B92" s="66"/>
      <c r="C92" s="66"/>
      <c r="D92" s="26" t="s">
        <v>106</v>
      </c>
      <c r="E92" s="26" t="s">
        <v>106</v>
      </c>
      <c r="F92" s="231">
        <v>5321.9409456</v>
      </c>
      <c r="J92" s="24"/>
      <c r="K92" s="25"/>
      <c r="L92" s="76"/>
    </row>
    <row r="93" spans="1:12" ht="12.75">
      <c r="A93" s="66" t="s">
        <v>8</v>
      </c>
      <c r="B93" s="66"/>
      <c r="C93" s="66"/>
      <c r="D93" s="26" t="s">
        <v>107</v>
      </c>
      <c r="E93" s="26" t="s">
        <v>107</v>
      </c>
      <c r="F93" s="231">
        <v>468.4692039</v>
      </c>
      <c r="L93" s="76"/>
    </row>
    <row r="94" spans="1:12" ht="12.75">
      <c r="A94" s="66" t="s">
        <v>8</v>
      </c>
      <c r="B94" s="66"/>
      <c r="C94" s="66"/>
      <c r="D94" s="26" t="s">
        <v>18</v>
      </c>
      <c r="E94" s="26" t="s">
        <v>18</v>
      </c>
      <c r="F94" s="231">
        <v>6.600598199999999</v>
      </c>
      <c r="J94" s="24"/>
      <c r="K94" s="25"/>
      <c r="L94" s="76"/>
    </row>
    <row r="95" spans="1:12" s="24" customFormat="1" ht="14.25">
      <c r="A95" s="74" t="s">
        <v>1</v>
      </c>
      <c r="B95" s="74"/>
      <c r="C95" s="74"/>
      <c r="D95" s="23" t="s">
        <v>108</v>
      </c>
      <c r="E95" s="23" t="s">
        <v>108</v>
      </c>
      <c r="F95" s="222">
        <f>SUM(F92:F94)</f>
        <v>5797.0107477</v>
      </c>
      <c r="H95" s="25"/>
      <c r="I95" s="25"/>
      <c r="K95" s="25"/>
      <c r="L95" s="76"/>
    </row>
    <row r="96" spans="1:11" ht="12.75">
      <c r="A96" s="66" t="s">
        <v>10</v>
      </c>
      <c r="B96" s="66"/>
      <c r="C96" s="66"/>
      <c r="D96" s="26"/>
      <c r="E96" s="26"/>
      <c r="K96" s="6"/>
    </row>
    <row r="97" spans="1:6" s="12" customFormat="1" ht="12.75">
      <c r="A97" s="67" t="s">
        <v>7</v>
      </c>
      <c r="B97" s="67"/>
      <c r="C97" s="67"/>
      <c r="D97" s="47" t="s">
        <v>109</v>
      </c>
      <c r="E97" s="47" t="s">
        <v>109</v>
      </c>
      <c r="F97" s="44">
        <f>+F91</f>
        <v>2023</v>
      </c>
    </row>
    <row r="98" spans="1:9" s="24" customFormat="1" ht="12.75">
      <c r="A98" s="74" t="s">
        <v>1</v>
      </c>
      <c r="B98" s="74"/>
      <c r="C98" s="74"/>
      <c r="D98" s="23" t="s">
        <v>1</v>
      </c>
      <c r="E98" s="23" t="s">
        <v>1</v>
      </c>
      <c r="F98" s="25">
        <f>+F95+F89+F82+F62+F48+F43</f>
        <v>134450.9837209</v>
      </c>
      <c r="I98" s="232"/>
    </row>
    <row r="99" spans="1:11" ht="12.75">
      <c r="A99" s="66" t="s">
        <v>10</v>
      </c>
      <c r="B99" s="66"/>
      <c r="C99" s="66"/>
      <c r="D99" s="26"/>
      <c r="E99" s="26"/>
      <c r="K99" s="6"/>
    </row>
    <row r="100" spans="1:11" ht="12.75">
      <c r="A100" s="66" t="s">
        <v>16</v>
      </c>
      <c r="B100" s="66"/>
      <c r="C100" s="66"/>
      <c r="D100" s="56" t="s">
        <v>591</v>
      </c>
      <c r="E100" s="56" t="s">
        <v>591</v>
      </c>
      <c r="K100" s="6"/>
    </row>
    <row r="101" spans="1:5" ht="12.75">
      <c r="A101" s="66" t="s">
        <v>10</v>
      </c>
      <c r="B101" s="16"/>
      <c r="C101" s="16"/>
      <c r="D101" s="16"/>
      <c r="E101" s="16"/>
    </row>
    <row r="102" spans="1:12" s="16" customFormat="1" ht="12.75">
      <c r="A102" s="66" t="s">
        <v>615</v>
      </c>
      <c r="E102" s="61"/>
      <c r="J102" s="6"/>
      <c r="K102" s="7"/>
      <c r="L102" s="6"/>
    </row>
    <row r="104" spans="10:12" ht="12.75">
      <c r="J104" s="16"/>
      <c r="K104" s="20"/>
      <c r="L104" s="16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10" r:id="rId1"/>
  <headerFooter alignWithMargins="0">
    <oddHeader>&amp;L&amp;D/&amp;F</oddHeader>
    <oddFooter>&amp;L&amp;"Calibri"&amp;11&amp;K000000&amp;"Calibri"&amp;11&amp;K000000
&amp;1#&amp;"Calibri"&amp;8&amp;K000000 Classified as Internal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32"/>
  <sheetViews>
    <sheetView zoomScaleSheetLayoutView="80" zoomScalePageLayoutView="0" workbookViewId="0" topLeftCell="A1">
      <selection activeCell="F79" sqref="F79"/>
    </sheetView>
  </sheetViews>
  <sheetFormatPr defaultColWidth="11.28125" defaultRowHeight="12.75"/>
  <cols>
    <col min="1" max="1" width="12.7109375" style="66" bestFit="1" customWidth="1"/>
    <col min="2" max="2" width="12.28125" style="16" bestFit="1" customWidth="1"/>
    <col min="3" max="3" width="11.28125" style="6" bestFit="1" customWidth="1"/>
    <col min="4" max="4" width="44.28125" style="6" hidden="1" customWidth="1"/>
    <col min="5" max="5" width="26.28125" style="6" customWidth="1"/>
    <col min="6" max="16384" width="11.28125" style="16" customWidth="1"/>
  </cols>
  <sheetData>
    <row r="1" spans="1:5" s="6" customFormat="1" ht="15.75" customHeight="1">
      <c r="A1" s="68">
        <v>44196</v>
      </c>
      <c r="B1" s="32" t="s">
        <v>26</v>
      </c>
      <c r="C1" s="33"/>
      <c r="D1" s="34" t="str">
        <f>Company</f>
        <v>AB Electrolux</v>
      </c>
      <c r="E1" s="34" t="str">
        <f>Company</f>
        <v>AB Electrolux</v>
      </c>
    </row>
    <row r="2" spans="1:5" s="6" customFormat="1" ht="15.75" customHeight="1">
      <c r="A2" s="69"/>
      <c r="B2" s="32" t="s">
        <v>28</v>
      </c>
      <c r="C2" s="33"/>
      <c r="D2" s="35">
        <f>A1</f>
        <v>44196</v>
      </c>
      <c r="E2" s="36">
        <f>+A1</f>
        <v>44196</v>
      </c>
    </row>
    <row r="3" spans="1:5" s="6" customFormat="1" ht="15.75" customHeight="1">
      <c r="A3" s="69"/>
      <c r="B3" s="32" t="s">
        <v>29</v>
      </c>
      <c r="C3" s="33" t="s">
        <v>30</v>
      </c>
      <c r="D3" s="37" t="s">
        <v>31</v>
      </c>
      <c r="E3" s="37" t="s">
        <v>32</v>
      </c>
    </row>
    <row r="4" spans="1:5" ht="16.5" customHeight="1">
      <c r="A4" s="66" t="s">
        <v>6</v>
      </c>
      <c r="B4" s="32" t="s">
        <v>33</v>
      </c>
      <c r="C4" s="22"/>
      <c r="D4" s="23" t="s">
        <v>587</v>
      </c>
      <c r="E4" s="23" t="s">
        <v>627</v>
      </c>
    </row>
    <row r="5" spans="2:5" ht="12.75">
      <c r="B5" s="32" t="s">
        <v>35</v>
      </c>
      <c r="C5" s="33" t="s">
        <v>139</v>
      </c>
      <c r="D5" s="23"/>
      <c r="E5" s="23"/>
    </row>
    <row r="6" spans="1:6" s="17" customFormat="1" ht="12.75">
      <c r="A6" s="67" t="s">
        <v>7</v>
      </c>
      <c r="B6" s="41" t="s">
        <v>34</v>
      </c>
      <c r="C6" s="38" t="s">
        <v>139</v>
      </c>
      <c r="D6" s="47"/>
      <c r="E6" s="47"/>
      <c r="F6" s="44">
        <v>2023</v>
      </c>
    </row>
    <row r="7" spans="1:5" s="13" customFormat="1" ht="12.75">
      <c r="A7" s="65" t="s">
        <v>177</v>
      </c>
      <c r="B7" s="75"/>
      <c r="C7" s="73"/>
      <c r="D7" s="45"/>
      <c r="E7" s="45"/>
    </row>
    <row r="8" spans="1:5" s="17" customFormat="1" ht="12.75">
      <c r="A8" s="67" t="s">
        <v>7</v>
      </c>
      <c r="B8" s="67"/>
      <c r="C8" s="67"/>
      <c r="D8" s="47" t="s">
        <v>36</v>
      </c>
      <c r="E8" s="47" t="s">
        <v>36</v>
      </c>
    </row>
    <row r="9" spans="1:9" ht="12.75">
      <c r="A9" s="66" t="s">
        <v>8</v>
      </c>
      <c r="B9" s="219"/>
      <c r="C9" s="66"/>
      <c r="D9" s="26" t="s">
        <v>37</v>
      </c>
      <c r="E9" s="26" t="s">
        <v>37</v>
      </c>
      <c r="F9" s="20">
        <v>4804.515</v>
      </c>
      <c r="I9" s="230"/>
    </row>
    <row r="10" spans="1:9" ht="12.75">
      <c r="A10" s="66" t="s">
        <v>8</v>
      </c>
      <c r="B10" s="219"/>
      <c r="C10" s="66"/>
      <c r="D10" s="26" t="s">
        <v>38</v>
      </c>
      <c r="E10" s="26" t="s">
        <v>39</v>
      </c>
      <c r="F10" s="20">
        <v>1812.9006769230766</v>
      </c>
      <c r="I10" s="230"/>
    </row>
    <row r="11" spans="1:9" ht="12.75">
      <c r="A11" s="66" t="s">
        <v>8</v>
      </c>
      <c r="B11" s="219"/>
      <c r="C11" s="66"/>
      <c r="D11" s="26" t="s">
        <v>39</v>
      </c>
      <c r="E11" s="26" t="s">
        <v>38</v>
      </c>
      <c r="F11" s="20">
        <v>1697.5000000000002</v>
      </c>
      <c r="I11" s="230"/>
    </row>
    <row r="12" spans="1:9" ht="12.75">
      <c r="A12" s="66" t="s">
        <v>8</v>
      </c>
      <c r="B12" s="219"/>
      <c r="C12" s="66"/>
      <c r="D12" s="26" t="s">
        <v>40</v>
      </c>
      <c r="E12" s="26" t="s">
        <v>41</v>
      </c>
      <c r="F12" s="20">
        <v>414.4</v>
      </c>
      <c r="I12" s="230"/>
    </row>
    <row r="13" spans="1:9" ht="12.75">
      <c r="A13" s="66" t="s">
        <v>8</v>
      </c>
      <c r="B13" s="219"/>
      <c r="C13" s="66"/>
      <c r="D13" s="26" t="s">
        <v>41</v>
      </c>
      <c r="E13" s="26" t="s">
        <v>44</v>
      </c>
      <c r="F13" s="230">
        <v>431.38076923076915</v>
      </c>
      <c r="I13" s="230"/>
    </row>
    <row r="14" spans="1:9" ht="12.75">
      <c r="A14" s="66" t="s">
        <v>8</v>
      </c>
      <c r="B14" s="219"/>
      <c r="C14" s="66"/>
      <c r="D14" s="26" t="s">
        <v>42</v>
      </c>
      <c r="E14" s="26" t="s">
        <v>42</v>
      </c>
      <c r="F14" s="230">
        <v>339.07692307692304</v>
      </c>
      <c r="I14" s="230"/>
    </row>
    <row r="15" spans="1:9" ht="12.75">
      <c r="A15" s="66" t="s">
        <v>8</v>
      </c>
      <c r="B15" s="219"/>
      <c r="C15" s="66"/>
      <c r="D15" s="26" t="s">
        <v>43</v>
      </c>
      <c r="E15" s="26" t="s">
        <v>47</v>
      </c>
      <c r="F15" s="230">
        <v>251.61742307692307</v>
      </c>
      <c r="I15" s="230"/>
    </row>
    <row r="16" spans="1:9" ht="12.75">
      <c r="A16" s="66" t="s">
        <v>8</v>
      </c>
      <c r="B16" s="219"/>
      <c r="C16" s="66"/>
      <c r="D16" s="26" t="s">
        <v>44</v>
      </c>
      <c r="E16" s="26" t="s">
        <v>45</v>
      </c>
      <c r="F16" s="230">
        <v>191.28923076923076</v>
      </c>
      <c r="I16" s="230"/>
    </row>
    <row r="17" spans="1:9" ht="12.75">
      <c r="A17" s="66" t="s">
        <v>8</v>
      </c>
      <c r="B17" s="219"/>
      <c r="C17" s="66"/>
      <c r="D17" s="26" t="s">
        <v>45</v>
      </c>
      <c r="E17" s="26" t="s">
        <v>40</v>
      </c>
      <c r="F17" s="230">
        <v>131.3076923076923</v>
      </c>
      <c r="I17" s="230"/>
    </row>
    <row r="18" spans="1:9" ht="12.75">
      <c r="A18" s="66" t="s">
        <v>8</v>
      </c>
      <c r="B18" s="219"/>
      <c r="C18" s="66"/>
      <c r="D18" s="26" t="s">
        <v>46</v>
      </c>
      <c r="E18" s="26" t="s">
        <v>43</v>
      </c>
      <c r="F18" s="230">
        <v>102.658</v>
      </c>
      <c r="I18" s="230"/>
    </row>
    <row r="19" spans="1:9" ht="12.75">
      <c r="A19" s="66" t="s">
        <v>8</v>
      </c>
      <c r="B19" s="219"/>
      <c r="C19" s="66"/>
      <c r="D19" s="26" t="s">
        <v>47</v>
      </c>
      <c r="E19" s="26" t="s">
        <v>46</v>
      </c>
      <c r="F19" s="230">
        <v>83.46153846153845</v>
      </c>
      <c r="I19" s="230"/>
    </row>
    <row r="20" spans="1:9" ht="12.75">
      <c r="A20" s="66" t="s">
        <v>8</v>
      </c>
      <c r="B20" s="219"/>
      <c r="C20" s="66"/>
      <c r="D20" s="26" t="s">
        <v>48</v>
      </c>
      <c r="E20" s="26" t="s">
        <v>48</v>
      </c>
      <c r="F20" s="230">
        <v>67.83844615384615</v>
      </c>
      <c r="I20" s="230"/>
    </row>
    <row r="21" spans="1:9" ht="12.75">
      <c r="A21" s="66" t="s">
        <v>8</v>
      </c>
      <c r="B21" s="219"/>
      <c r="C21" s="66"/>
      <c r="D21" s="26" t="s">
        <v>49</v>
      </c>
      <c r="E21" s="26" t="s">
        <v>50</v>
      </c>
      <c r="F21" s="230">
        <v>53.7</v>
      </c>
      <c r="I21" s="230"/>
    </row>
    <row r="22" spans="1:9" ht="12.75">
      <c r="A22" s="66" t="s">
        <v>8</v>
      </c>
      <c r="B22" s="219"/>
      <c r="C22" s="66"/>
      <c r="D22" s="26" t="s">
        <v>50</v>
      </c>
      <c r="E22" s="26" t="s">
        <v>49</v>
      </c>
      <c r="F22" s="230">
        <v>30.009376923076914</v>
      </c>
      <c r="I22" s="230"/>
    </row>
    <row r="23" spans="1:9" ht="12.75">
      <c r="A23" s="66" t="s">
        <v>8</v>
      </c>
      <c r="B23" s="219"/>
      <c r="C23" s="66"/>
      <c r="D23" s="26" t="s">
        <v>51</v>
      </c>
      <c r="E23" s="26" t="s">
        <v>52</v>
      </c>
      <c r="F23" s="230">
        <v>27.692307692307686</v>
      </c>
      <c r="I23" s="230"/>
    </row>
    <row r="24" spans="1:9" ht="12.75">
      <c r="A24" s="66" t="s">
        <v>8</v>
      </c>
      <c r="B24" s="219"/>
      <c r="C24" s="66"/>
      <c r="D24" s="26" t="s">
        <v>52</v>
      </c>
      <c r="E24" s="26" t="s">
        <v>53</v>
      </c>
      <c r="F24" s="230">
        <v>27.15384615384616</v>
      </c>
      <c r="I24" s="230"/>
    </row>
    <row r="25" spans="1:9" ht="12.75">
      <c r="A25" s="66" t="s">
        <v>8</v>
      </c>
      <c r="B25" s="219"/>
      <c r="C25" s="66"/>
      <c r="D25" s="26" t="s">
        <v>53</v>
      </c>
      <c r="E25" s="26" t="s">
        <v>51</v>
      </c>
      <c r="F25" s="230">
        <v>15.760000000000003</v>
      </c>
      <c r="I25" s="230"/>
    </row>
    <row r="26" spans="1:9" s="24" customFormat="1" ht="12.75">
      <c r="A26" s="74" t="s">
        <v>1</v>
      </c>
      <c r="B26" s="74"/>
      <c r="C26" s="74"/>
      <c r="D26" s="23" t="s">
        <v>54</v>
      </c>
      <c r="E26" s="23" t="s">
        <v>54</v>
      </c>
      <c r="F26" s="221">
        <f>SUM(F9:F25)</f>
        <v>10482.261230769232</v>
      </c>
      <c r="I26" s="232"/>
    </row>
    <row r="27" spans="1:5" ht="12.75">
      <c r="A27" s="66" t="s">
        <v>10</v>
      </c>
      <c r="B27" s="66"/>
      <c r="C27" s="66"/>
      <c r="D27" s="26"/>
      <c r="E27" s="26"/>
    </row>
    <row r="28" spans="1:6" s="44" customFormat="1" ht="12.75">
      <c r="A28" s="71" t="s">
        <v>7</v>
      </c>
      <c r="B28" s="71"/>
      <c r="C28" s="71"/>
      <c r="D28" s="47" t="s">
        <v>55</v>
      </c>
      <c r="E28" s="47" t="s">
        <v>55</v>
      </c>
      <c r="F28" s="44">
        <f>+F$6</f>
        <v>2023</v>
      </c>
    </row>
    <row r="29" spans="1:9" ht="12.75">
      <c r="A29" s="66" t="s">
        <v>8</v>
      </c>
      <c r="B29" s="66"/>
      <c r="C29" s="66"/>
      <c r="D29" s="26" t="s">
        <v>56</v>
      </c>
      <c r="E29" s="26" t="s">
        <v>58</v>
      </c>
      <c r="F29" s="20">
        <v>5153.7687230769225</v>
      </c>
      <c r="I29" s="230"/>
    </row>
    <row r="30" spans="1:9" ht="12.75">
      <c r="A30" s="66" t="s">
        <v>8</v>
      </c>
      <c r="B30" s="66"/>
      <c r="C30" s="66"/>
      <c r="D30" s="26" t="s">
        <v>57</v>
      </c>
      <c r="E30" s="26" t="s">
        <v>56</v>
      </c>
      <c r="F30" s="20">
        <v>1105.8525692307694</v>
      </c>
      <c r="I30" s="230"/>
    </row>
    <row r="31" spans="1:9" ht="12.75">
      <c r="A31" s="66" t="s">
        <v>8</v>
      </c>
      <c r="B31" s="66"/>
      <c r="C31" s="66"/>
      <c r="D31" s="26" t="s">
        <v>58</v>
      </c>
      <c r="E31" s="26" t="s">
        <v>57</v>
      </c>
      <c r="F31" s="20">
        <v>629.4615384615386</v>
      </c>
      <c r="I31" s="230"/>
    </row>
    <row r="32" spans="1:9" ht="12.75">
      <c r="A32" s="66" t="s">
        <v>8</v>
      </c>
      <c r="B32" s="66"/>
      <c r="C32" s="66"/>
      <c r="D32" s="26" t="s">
        <v>59</v>
      </c>
      <c r="E32" s="26" t="s">
        <v>65</v>
      </c>
      <c r="F32" s="20">
        <v>293.4615615384615</v>
      </c>
      <c r="I32" s="230"/>
    </row>
    <row r="33" spans="1:9" ht="12.75">
      <c r="A33" s="66" t="s">
        <v>8</v>
      </c>
      <c r="B33" s="66"/>
      <c r="C33" s="66"/>
      <c r="D33" s="26" t="s">
        <v>60</v>
      </c>
      <c r="E33" s="26" t="s">
        <v>59</v>
      </c>
      <c r="F33" s="20">
        <v>91.59451538461538</v>
      </c>
      <c r="I33" s="230"/>
    </row>
    <row r="34" spans="1:9" ht="12.75">
      <c r="A34" s="66" t="s">
        <v>8</v>
      </c>
      <c r="B34" s="66"/>
      <c r="C34" s="66"/>
      <c r="D34" s="26" t="s">
        <v>62</v>
      </c>
      <c r="E34" s="26" t="s">
        <v>61</v>
      </c>
      <c r="F34" s="20">
        <v>44.53846153846154</v>
      </c>
      <c r="G34" s="233"/>
      <c r="H34" s="233"/>
      <c r="I34" s="230"/>
    </row>
    <row r="35" spans="1:9" ht="12.75">
      <c r="A35" s="66" t="s">
        <v>8</v>
      </c>
      <c r="B35" s="66"/>
      <c r="C35" s="66"/>
      <c r="D35" s="56" t="s">
        <v>602</v>
      </c>
      <c r="E35" s="26" t="s">
        <v>62</v>
      </c>
      <c r="F35" s="20">
        <v>34.384623076923084</v>
      </c>
      <c r="G35" s="233"/>
      <c r="H35" s="233"/>
      <c r="I35" s="230"/>
    </row>
    <row r="36" spans="1:9" ht="12.75">
      <c r="A36" s="66" t="s">
        <v>8</v>
      </c>
      <c r="B36" s="66"/>
      <c r="C36" s="66"/>
      <c r="D36" s="26" t="s">
        <v>63</v>
      </c>
      <c r="E36" s="56" t="s">
        <v>602</v>
      </c>
      <c r="F36" s="20">
        <v>27.774284615384612</v>
      </c>
      <c r="I36" s="230"/>
    </row>
    <row r="37" spans="1:9" ht="12.75">
      <c r="A37" s="66" t="s">
        <v>8</v>
      </c>
      <c r="B37" s="66"/>
      <c r="C37" s="66"/>
      <c r="D37" s="26" t="s">
        <v>65</v>
      </c>
      <c r="E37" s="26" t="s">
        <v>63</v>
      </c>
      <c r="F37" s="20">
        <v>13.986923076923075</v>
      </c>
      <c r="I37" s="230"/>
    </row>
    <row r="38" spans="1:9" s="24" customFormat="1" ht="12.75">
      <c r="A38" s="74" t="s">
        <v>1</v>
      </c>
      <c r="B38" s="74"/>
      <c r="C38" s="74"/>
      <c r="D38" s="23" t="s">
        <v>66</v>
      </c>
      <c r="E38" s="23" t="s">
        <v>66</v>
      </c>
      <c r="F38" s="221">
        <f>SUM(F29:F37)</f>
        <v>7394.823199999999</v>
      </c>
      <c r="I38" s="232"/>
    </row>
    <row r="39" spans="1:9" s="24" customFormat="1" ht="12.75">
      <c r="A39" s="74" t="s">
        <v>1</v>
      </c>
      <c r="B39" s="74"/>
      <c r="C39" s="74"/>
      <c r="D39" s="23" t="s">
        <v>67</v>
      </c>
      <c r="E39" s="23" t="s">
        <v>67</v>
      </c>
      <c r="F39" s="221">
        <f>F26+F38</f>
        <v>17877.08443076923</v>
      </c>
      <c r="I39" s="232"/>
    </row>
    <row r="40" spans="1:5" ht="12.75">
      <c r="A40" s="66" t="s">
        <v>10</v>
      </c>
      <c r="C40" s="66"/>
      <c r="D40" s="26"/>
      <c r="E40" s="26"/>
    </row>
    <row r="41" spans="1:6" s="44" customFormat="1" ht="12.75">
      <c r="A41" s="71" t="s">
        <v>7</v>
      </c>
      <c r="B41" s="71"/>
      <c r="C41" s="71"/>
      <c r="D41" s="47" t="s">
        <v>68</v>
      </c>
      <c r="E41" s="47" t="s">
        <v>68</v>
      </c>
      <c r="F41" s="44">
        <f>+F$6</f>
        <v>2023</v>
      </c>
    </row>
    <row r="42" spans="1:6" ht="12.75">
      <c r="A42" s="66" t="s">
        <v>8</v>
      </c>
      <c r="B42" s="66"/>
      <c r="C42" s="66"/>
      <c r="D42" s="26" t="s">
        <v>69</v>
      </c>
      <c r="E42" s="26" t="s">
        <v>69</v>
      </c>
      <c r="F42" s="20">
        <v>6694.000061538462</v>
      </c>
    </row>
    <row r="43" spans="1:6" ht="12.75">
      <c r="A43" s="66" t="s">
        <v>8</v>
      </c>
      <c r="B43" s="66"/>
      <c r="C43" s="66"/>
      <c r="D43" s="26" t="s">
        <v>70</v>
      </c>
      <c r="E43" s="26" t="s">
        <v>70</v>
      </c>
      <c r="F43" s="20">
        <v>135.6153846153846</v>
      </c>
    </row>
    <row r="44" spans="1:6" s="24" customFormat="1" ht="12.75">
      <c r="A44" s="74" t="s">
        <v>1</v>
      </c>
      <c r="B44" s="74"/>
      <c r="C44" s="74"/>
      <c r="D44" s="23" t="s">
        <v>71</v>
      </c>
      <c r="E44" s="23" t="s">
        <v>71</v>
      </c>
      <c r="F44" s="25">
        <f>SUM(F42:F43)</f>
        <v>6829.615446153847</v>
      </c>
    </row>
    <row r="45" spans="1:5" ht="12.75">
      <c r="A45" s="66" t="s">
        <v>10</v>
      </c>
      <c r="B45" s="66"/>
      <c r="C45" s="66"/>
      <c r="D45" s="26"/>
      <c r="E45" s="26"/>
    </row>
    <row r="46" spans="1:6" s="44" customFormat="1" ht="12.75">
      <c r="A46" s="71" t="s">
        <v>7</v>
      </c>
      <c r="B46" s="71"/>
      <c r="C46" s="71"/>
      <c r="D46" s="47" t="s">
        <v>72</v>
      </c>
      <c r="E46" s="47" t="s">
        <v>72</v>
      </c>
      <c r="F46" s="44">
        <f>+F$6</f>
        <v>2023</v>
      </c>
    </row>
    <row r="47" spans="1:9" ht="12.75">
      <c r="A47" s="66" t="s">
        <v>8</v>
      </c>
      <c r="B47" s="66"/>
      <c r="C47" s="66"/>
      <c r="D47" s="26" t="s">
        <v>73</v>
      </c>
      <c r="E47" s="26" t="s">
        <v>73</v>
      </c>
      <c r="F47" s="20">
        <v>6079.971292307693</v>
      </c>
      <c r="I47" s="20"/>
    </row>
    <row r="48" spans="1:9" ht="12.75">
      <c r="A48" s="66" t="s">
        <v>8</v>
      </c>
      <c r="B48" s="66"/>
      <c r="C48" s="66"/>
      <c r="D48" s="26" t="s">
        <v>74</v>
      </c>
      <c r="E48" s="26" t="s">
        <v>74</v>
      </c>
      <c r="F48" s="20">
        <v>4152.076923076923</v>
      </c>
      <c r="I48" s="20"/>
    </row>
    <row r="49" spans="1:9" ht="12.75">
      <c r="A49" s="66" t="s">
        <v>8</v>
      </c>
      <c r="B49" s="66"/>
      <c r="C49" s="66"/>
      <c r="D49" s="26" t="s">
        <v>75</v>
      </c>
      <c r="E49" s="26" t="s">
        <v>81</v>
      </c>
      <c r="F49" s="20">
        <v>1043.230769230769</v>
      </c>
      <c r="I49" s="20"/>
    </row>
    <row r="50" spans="1:9" ht="12.75">
      <c r="A50" s="66" t="s">
        <v>8</v>
      </c>
      <c r="B50" s="66"/>
      <c r="C50" s="66"/>
      <c r="D50" s="26" t="s">
        <v>76</v>
      </c>
      <c r="E50" s="26" t="s">
        <v>77</v>
      </c>
      <c r="F50" s="20">
        <v>789.4615384615385</v>
      </c>
      <c r="I50" s="20"/>
    </row>
    <row r="51" spans="1:9" ht="12.75">
      <c r="A51" s="66" t="s">
        <v>8</v>
      </c>
      <c r="B51" s="66"/>
      <c r="C51" s="66"/>
      <c r="D51" s="26" t="s">
        <v>77</v>
      </c>
      <c r="E51" s="26" t="s">
        <v>75</v>
      </c>
      <c r="F51" s="20">
        <v>192</v>
      </c>
      <c r="I51" s="20"/>
    </row>
    <row r="52" spans="1:9" ht="12.75">
      <c r="A52" s="66" t="s">
        <v>8</v>
      </c>
      <c r="B52" s="66"/>
      <c r="C52" s="66"/>
      <c r="D52" s="26" t="s">
        <v>78</v>
      </c>
      <c r="E52" s="26" t="s">
        <v>78</v>
      </c>
      <c r="F52" s="20">
        <v>137</v>
      </c>
      <c r="I52" s="20"/>
    </row>
    <row r="53" spans="1:9" ht="12.75">
      <c r="A53" s="66" t="s">
        <v>8</v>
      </c>
      <c r="B53" s="66"/>
      <c r="C53" s="66"/>
      <c r="D53" s="26" t="s">
        <v>79</v>
      </c>
      <c r="E53" s="26" t="s">
        <v>76</v>
      </c>
      <c r="F53" s="20">
        <v>91.69230769230771</v>
      </c>
      <c r="I53" s="20"/>
    </row>
    <row r="54" spans="1:10" ht="12.75">
      <c r="A54" s="66" t="s">
        <v>8</v>
      </c>
      <c r="B54" s="66"/>
      <c r="C54" s="66"/>
      <c r="D54" s="56" t="s">
        <v>607</v>
      </c>
      <c r="E54" s="56" t="s">
        <v>607</v>
      </c>
      <c r="F54" s="20">
        <v>25.912153846153842</v>
      </c>
      <c r="I54" s="20"/>
      <c r="J54" s="20"/>
    </row>
    <row r="55" spans="1:9" ht="12.75">
      <c r="A55" s="66" t="s">
        <v>8</v>
      </c>
      <c r="B55" s="66"/>
      <c r="C55" s="66"/>
      <c r="D55" s="26" t="s">
        <v>81</v>
      </c>
      <c r="E55" s="26" t="s">
        <v>79</v>
      </c>
      <c r="F55" s="20">
        <v>3.0000000000000004</v>
      </c>
      <c r="I55" s="20"/>
    </row>
    <row r="56" spans="1:9" s="24" customFormat="1" ht="12.75">
      <c r="A56" s="74" t="s">
        <v>1</v>
      </c>
      <c r="B56" s="74"/>
      <c r="C56" s="74"/>
      <c r="D56" s="23" t="s">
        <v>83</v>
      </c>
      <c r="E56" s="23" t="s">
        <v>83</v>
      </c>
      <c r="F56" s="221">
        <f>SUM(F47:F55)</f>
        <v>12514.344984615387</v>
      </c>
      <c r="I56" s="256"/>
    </row>
    <row r="57" spans="1:5" ht="12.75">
      <c r="A57" s="66" t="s">
        <v>10</v>
      </c>
      <c r="B57" s="66"/>
      <c r="C57" s="66"/>
      <c r="D57" s="26"/>
      <c r="E57" s="26"/>
    </row>
    <row r="58" spans="1:6" s="44" customFormat="1" ht="12.75">
      <c r="A58" s="71" t="s">
        <v>7</v>
      </c>
      <c r="B58" s="71"/>
      <c r="C58" s="71"/>
      <c r="D58" s="47" t="s">
        <v>84</v>
      </c>
      <c r="E58" s="47" t="s">
        <v>84</v>
      </c>
      <c r="F58" s="44">
        <f>+F$6</f>
        <v>2023</v>
      </c>
    </row>
    <row r="59" spans="1:5" ht="12.75">
      <c r="A59" s="66" t="s">
        <v>8</v>
      </c>
      <c r="B59" s="66"/>
      <c r="C59" s="66"/>
      <c r="D59" s="23" t="s">
        <v>85</v>
      </c>
      <c r="E59" s="23" t="s">
        <v>85</v>
      </c>
    </row>
    <row r="60" spans="1:9" ht="12.75">
      <c r="A60" s="66" t="s">
        <v>8</v>
      </c>
      <c r="B60" s="66"/>
      <c r="C60" s="66"/>
      <c r="D60" s="26" t="s">
        <v>86</v>
      </c>
      <c r="E60" s="26" t="s">
        <v>89</v>
      </c>
      <c r="F60" s="20">
        <v>2427.8241000000003</v>
      </c>
      <c r="I60" s="20"/>
    </row>
    <row r="61" spans="1:9" ht="12.75">
      <c r="A61" s="66" t="s">
        <v>8</v>
      </c>
      <c r="B61" s="66"/>
      <c r="C61" s="66"/>
      <c r="D61" s="26" t="s">
        <v>87</v>
      </c>
      <c r="E61" s="26" t="s">
        <v>86</v>
      </c>
      <c r="F61" s="20">
        <v>773.0076923076923</v>
      </c>
      <c r="I61" s="20"/>
    </row>
    <row r="62" spans="1:9" ht="12.75">
      <c r="A62" s="66" t="s">
        <v>8</v>
      </c>
      <c r="B62" s="66"/>
      <c r="C62" s="66"/>
      <c r="D62" s="26" t="s">
        <v>88</v>
      </c>
      <c r="E62" s="26" t="s">
        <v>91</v>
      </c>
      <c r="F62" s="20">
        <v>362.3845769230769</v>
      </c>
      <c r="I62" s="20"/>
    </row>
    <row r="63" spans="1:9" ht="12.75">
      <c r="A63" s="66" t="s">
        <v>8</v>
      </c>
      <c r="B63" s="66"/>
      <c r="C63" s="66"/>
      <c r="D63" s="26" t="s">
        <v>89</v>
      </c>
      <c r="E63" s="26" t="s">
        <v>92</v>
      </c>
      <c r="F63" s="20">
        <v>193.21531538461534</v>
      </c>
      <c r="I63" s="20"/>
    </row>
    <row r="64" spans="1:9" ht="12.75">
      <c r="A64" s="66" t="s">
        <v>8</v>
      </c>
      <c r="B64" s="66"/>
      <c r="C64" s="66"/>
      <c r="D64" s="26" t="s">
        <v>90</v>
      </c>
      <c r="E64" s="26" t="s">
        <v>88</v>
      </c>
      <c r="F64" s="20">
        <v>96.22923076923077</v>
      </c>
      <c r="I64" s="20"/>
    </row>
    <row r="65" spans="1:10" ht="12.75">
      <c r="A65" s="66" t="s">
        <v>8</v>
      </c>
      <c r="B65" s="66"/>
      <c r="C65" s="66"/>
      <c r="D65" s="26" t="s">
        <v>91</v>
      </c>
      <c r="E65" s="26" t="s">
        <v>93</v>
      </c>
      <c r="F65" s="20">
        <v>82.00000000000001</v>
      </c>
      <c r="I65" s="26"/>
      <c r="J65" s="20"/>
    </row>
    <row r="66" spans="1:10" ht="12.75">
      <c r="A66" s="66" t="s">
        <v>8</v>
      </c>
      <c r="B66" s="66"/>
      <c r="C66" s="66"/>
      <c r="D66" s="26" t="s">
        <v>92</v>
      </c>
      <c r="E66" s="26" t="s">
        <v>97</v>
      </c>
      <c r="F66" s="20">
        <v>61.92307692307692</v>
      </c>
      <c r="I66" s="26"/>
      <c r="J66" s="20"/>
    </row>
    <row r="67" spans="1:10" ht="12.75">
      <c r="A67" s="66" t="s">
        <v>8</v>
      </c>
      <c r="B67" s="66"/>
      <c r="C67" s="66"/>
      <c r="D67" s="26" t="s">
        <v>93</v>
      </c>
      <c r="E67" s="26" t="s">
        <v>87</v>
      </c>
      <c r="F67" s="20">
        <v>58.61538461538462</v>
      </c>
      <c r="I67" s="26"/>
      <c r="J67" s="20"/>
    </row>
    <row r="68" spans="1:10" ht="12.75">
      <c r="A68" s="66" t="s">
        <v>8</v>
      </c>
      <c r="B68" s="66"/>
      <c r="C68" s="66"/>
      <c r="D68" s="26" t="s">
        <v>94</v>
      </c>
      <c r="E68" s="26" t="s">
        <v>96</v>
      </c>
      <c r="F68" s="20">
        <v>50.692307692307686</v>
      </c>
      <c r="I68" s="26"/>
      <c r="J68" s="20"/>
    </row>
    <row r="69" spans="1:10" ht="12.75">
      <c r="A69" s="66" t="s">
        <v>8</v>
      </c>
      <c r="B69" s="66"/>
      <c r="C69" s="66"/>
      <c r="D69" s="26" t="s">
        <v>95</v>
      </c>
      <c r="E69" s="26" t="s">
        <v>90</v>
      </c>
      <c r="F69" s="20">
        <v>47.50962307692308</v>
      </c>
      <c r="I69" s="26"/>
      <c r="J69" s="20"/>
    </row>
    <row r="70" spans="1:11" ht="12.75">
      <c r="A70" s="66" t="s">
        <v>8</v>
      </c>
      <c r="B70" s="66"/>
      <c r="C70" s="66"/>
      <c r="D70" s="26" t="s">
        <v>96</v>
      </c>
      <c r="E70" s="26" t="s">
        <v>95</v>
      </c>
      <c r="F70" s="20">
        <v>21.923076923076923</v>
      </c>
      <c r="I70" s="26"/>
      <c r="J70" s="20"/>
      <c r="K70" s="20"/>
    </row>
    <row r="71" spans="1:6" ht="12.75">
      <c r="A71" s="66" t="s">
        <v>8</v>
      </c>
      <c r="B71" s="66"/>
      <c r="C71" s="66"/>
      <c r="D71" s="26" t="s">
        <v>97</v>
      </c>
      <c r="E71" s="26" t="s">
        <v>94</v>
      </c>
      <c r="F71" s="20">
        <v>21.38230769230769</v>
      </c>
    </row>
    <row r="72" spans="1:9" s="24" customFormat="1" ht="12.75">
      <c r="A72" s="74" t="s">
        <v>1</v>
      </c>
      <c r="B72" s="74"/>
      <c r="C72" s="74"/>
      <c r="D72" s="23" t="s">
        <v>98</v>
      </c>
      <c r="E72" s="23" t="s">
        <v>98</v>
      </c>
      <c r="F72" s="221">
        <f>SUM(F60:F71)</f>
        <v>4196.706692307694</v>
      </c>
      <c r="I72" s="20"/>
    </row>
    <row r="73" spans="1:5" ht="12.75">
      <c r="A73" s="66" t="s">
        <v>10</v>
      </c>
      <c r="B73" s="66"/>
      <c r="C73" s="66"/>
      <c r="D73" s="26"/>
      <c r="E73" s="26"/>
    </row>
    <row r="74" spans="1:5" ht="12.75">
      <c r="A74" s="66" t="s">
        <v>7</v>
      </c>
      <c r="B74" s="66"/>
      <c r="C74" s="66"/>
      <c r="D74" s="23" t="s">
        <v>99</v>
      </c>
      <c r="E74" s="23" t="s">
        <v>99</v>
      </c>
    </row>
    <row r="75" spans="1:6" s="24" customFormat="1" ht="12.75">
      <c r="A75" s="74" t="s">
        <v>1</v>
      </c>
      <c r="B75" s="74"/>
      <c r="C75" s="74"/>
      <c r="D75" s="23" t="s">
        <v>100</v>
      </c>
      <c r="E75" s="23" t="s">
        <v>100</v>
      </c>
      <c r="F75" s="20">
        <v>65.73076923076924</v>
      </c>
    </row>
    <row r="76" spans="1:6" s="24" customFormat="1" ht="12.75">
      <c r="A76" s="74" t="s">
        <v>1</v>
      </c>
      <c r="B76" s="74"/>
      <c r="C76" s="74"/>
      <c r="D76" s="23" t="s">
        <v>101</v>
      </c>
      <c r="E76" s="23" t="s">
        <v>101</v>
      </c>
      <c r="F76" s="221">
        <f>+F72+F75</f>
        <v>4262.437461538463</v>
      </c>
    </row>
    <row r="77" spans="1:5" ht="12.75">
      <c r="A77" s="66" t="s">
        <v>10</v>
      </c>
      <c r="B77" s="66"/>
      <c r="C77" s="66"/>
      <c r="D77" s="26"/>
      <c r="E77" s="26"/>
    </row>
    <row r="78" spans="1:6" s="17" customFormat="1" ht="12.75">
      <c r="A78" s="67" t="s">
        <v>7</v>
      </c>
      <c r="B78" s="67"/>
      <c r="C78" s="67"/>
      <c r="D78" s="47" t="s">
        <v>102</v>
      </c>
      <c r="E78" s="47" t="s">
        <v>102</v>
      </c>
      <c r="F78" s="44">
        <f>+F$6</f>
        <v>2023</v>
      </c>
    </row>
    <row r="79" spans="1:6" ht="12.75">
      <c r="A79" s="66" t="s">
        <v>8</v>
      </c>
      <c r="B79" s="66"/>
      <c r="C79" s="66"/>
      <c r="D79" s="26" t="s">
        <v>112</v>
      </c>
      <c r="E79" s="26" t="s">
        <v>112</v>
      </c>
      <c r="F79" s="20">
        <v>2146.7446153846154</v>
      </c>
    </row>
    <row r="80" spans="1:6" ht="12.75">
      <c r="A80" s="66" t="s">
        <v>8</v>
      </c>
      <c r="B80" s="66"/>
      <c r="C80" s="66"/>
      <c r="D80" s="26" t="s">
        <v>103</v>
      </c>
      <c r="E80" s="26" t="s">
        <v>103</v>
      </c>
      <c r="F80" s="20">
        <v>926.6923076923075</v>
      </c>
    </row>
    <row r="81" spans="1:6" ht="12.75">
      <c r="A81" s="66" t="s">
        <v>8</v>
      </c>
      <c r="B81" s="66"/>
      <c r="C81" s="66"/>
      <c r="D81" s="26" t="s">
        <v>113</v>
      </c>
      <c r="E81" s="26" t="s">
        <v>113</v>
      </c>
      <c r="F81" s="20">
        <v>16.15384615384615</v>
      </c>
    </row>
    <row r="82" spans="1:6" s="24" customFormat="1" ht="12.75">
      <c r="A82" s="74" t="s">
        <v>1</v>
      </c>
      <c r="B82" s="74"/>
      <c r="C82" s="74"/>
      <c r="D82" s="23" t="s">
        <v>104</v>
      </c>
      <c r="E82" s="23" t="s">
        <v>104</v>
      </c>
      <c r="F82" s="221">
        <f>SUM(F79:F81)</f>
        <v>3089.590769230769</v>
      </c>
    </row>
    <row r="83" spans="1:5" ht="12.75">
      <c r="A83" s="66" t="s">
        <v>10</v>
      </c>
      <c r="B83" s="66"/>
      <c r="C83" s="66"/>
      <c r="D83" s="26"/>
      <c r="E83" s="26"/>
    </row>
    <row r="84" spans="1:6" s="44" customFormat="1" ht="12.75">
      <c r="A84" s="71" t="s">
        <v>7</v>
      </c>
      <c r="B84" s="71"/>
      <c r="C84" s="71"/>
      <c r="D84" s="47" t="s">
        <v>105</v>
      </c>
      <c r="E84" s="47" t="s">
        <v>105</v>
      </c>
      <c r="F84" s="44">
        <f>+F$6</f>
        <v>2023</v>
      </c>
    </row>
    <row r="85" spans="1:6" ht="12.75">
      <c r="A85" s="66" t="s">
        <v>8</v>
      </c>
      <c r="B85" s="66"/>
      <c r="C85" s="66"/>
      <c r="D85" s="26" t="s">
        <v>106</v>
      </c>
      <c r="E85" s="26" t="s">
        <v>106</v>
      </c>
      <c r="F85" s="20">
        <v>845.0903692307692</v>
      </c>
    </row>
    <row r="86" spans="1:6" ht="12.75">
      <c r="A86" s="66" t="s">
        <v>8</v>
      </c>
      <c r="B86" s="66"/>
      <c r="C86" s="66"/>
      <c r="D86" s="26" t="s">
        <v>107</v>
      </c>
      <c r="E86" s="26" t="s">
        <v>107</v>
      </c>
      <c r="F86" s="20">
        <v>33.56151538461538</v>
      </c>
    </row>
    <row r="87" spans="1:6" s="24" customFormat="1" ht="12.75">
      <c r="A87" s="74" t="s">
        <v>1</v>
      </c>
      <c r="B87" s="74"/>
      <c r="C87" s="74"/>
      <c r="D87" s="23" t="s">
        <v>108</v>
      </c>
      <c r="E87" s="23" t="s">
        <v>108</v>
      </c>
      <c r="F87" s="221">
        <f>SUM(F85:F86)</f>
        <v>878.6518846153846</v>
      </c>
    </row>
    <row r="88" spans="1:5" ht="12.75">
      <c r="A88" s="66" t="s">
        <v>10</v>
      </c>
      <c r="B88" s="66"/>
      <c r="C88" s="66"/>
      <c r="D88" s="26"/>
      <c r="E88" s="26"/>
    </row>
    <row r="89" spans="1:6" s="44" customFormat="1" ht="12.75">
      <c r="A89" s="71" t="s">
        <v>7</v>
      </c>
      <c r="B89" s="71"/>
      <c r="C89" s="71"/>
      <c r="D89" s="47" t="s">
        <v>109</v>
      </c>
      <c r="E89" s="47" t="s">
        <v>109</v>
      </c>
      <c r="F89" s="44">
        <f>+F$6</f>
        <v>2023</v>
      </c>
    </row>
    <row r="90" spans="1:6" s="24" customFormat="1" ht="12.75">
      <c r="A90" s="74" t="s">
        <v>1</v>
      </c>
      <c r="B90" s="74"/>
      <c r="C90" s="74"/>
      <c r="D90" s="23" t="s">
        <v>156</v>
      </c>
      <c r="E90" s="23" t="s">
        <v>156</v>
      </c>
      <c r="F90" s="221">
        <f>SUM(F39,F44,F56,F76,F82,F87)</f>
        <v>45451.724976923084</v>
      </c>
    </row>
    <row r="91" spans="1:5" s="6" customFormat="1" ht="12.75">
      <c r="A91" s="66" t="s">
        <v>10</v>
      </c>
      <c r="B91" s="66"/>
      <c r="C91" s="66"/>
      <c r="D91" s="26"/>
      <c r="E91" s="26"/>
    </row>
    <row r="92" spans="1:5" s="6" customFormat="1" ht="12.75">
      <c r="A92" s="66" t="s">
        <v>16</v>
      </c>
      <c r="B92" s="66"/>
      <c r="C92" s="66"/>
      <c r="D92" s="56" t="s">
        <v>114</v>
      </c>
      <c r="E92" s="56" t="s">
        <v>114</v>
      </c>
    </row>
    <row r="93" spans="1:5" s="6" customFormat="1" ht="12.75">
      <c r="A93" s="66" t="s">
        <v>10</v>
      </c>
      <c r="B93" s="16"/>
      <c r="C93" s="16"/>
      <c r="D93" s="16"/>
      <c r="E93" s="16"/>
    </row>
    <row r="94" spans="1:5" ht="12.75">
      <c r="A94" s="66" t="s">
        <v>615</v>
      </c>
      <c r="C94" s="16"/>
      <c r="D94" s="16"/>
      <c r="E94" s="31"/>
    </row>
    <row r="95" ht="12.75">
      <c r="E95" s="26"/>
    </row>
    <row r="97" ht="12.75">
      <c r="E97" s="26"/>
    </row>
    <row r="100" spans="5:6" ht="12.75">
      <c r="E100" s="26"/>
      <c r="F100" s="233"/>
    </row>
    <row r="101" ht="12.75">
      <c r="F101" s="233"/>
    </row>
    <row r="102" ht="12.75">
      <c r="F102" s="233"/>
    </row>
    <row r="103" ht="12.75">
      <c r="F103" s="233"/>
    </row>
    <row r="104" ht="12.75">
      <c r="F104" s="233"/>
    </row>
    <row r="105" ht="12.75">
      <c r="F105" s="233"/>
    </row>
    <row r="106" ht="12.75">
      <c r="F106" s="233"/>
    </row>
    <row r="107" spans="5:6" ht="12.75">
      <c r="E107" s="26"/>
      <c r="F107" s="233"/>
    </row>
    <row r="108" ht="12.75">
      <c r="F108" s="233"/>
    </row>
    <row r="113" ht="12.75">
      <c r="E113" s="16"/>
    </row>
    <row r="132" ht="12.75">
      <c r="E132" s="23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10" r:id="rId1"/>
  <headerFooter alignWithMargins="0">
    <oddHeader>&amp;L&amp;D/&amp;F</oddHeader>
    <oddFooter>&amp;L&amp;"Calibri"&amp;11&amp;K000000&amp;"Calibri"&amp;11&amp;K000000
&amp;1#&amp;"Calibri"&amp;8&amp;K000000 Classified as Internal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123"/>
  <sheetViews>
    <sheetView zoomScale="90" zoomScaleNormal="90" zoomScaleSheetLayoutView="100" zoomScalePageLayoutView="0" workbookViewId="0" topLeftCell="B1">
      <selection activeCell="O20" sqref="O20"/>
    </sheetView>
  </sheetViews>
  <sheetFormatPr defaultColWidth="9.28125" defaultRowHeight="12.75"/>
  <cols>
    <col min="1" max="1" width="11.28125" style="66" bestFit="1" customWidth="1"/>
    <col min="2" max="2" width="12.28125" style="16" bestFit="1" customWidth="1"/>
    <col min="3" max="3" width="11.28125" style="16" bestFit="1" customWidth="1"/>
    <col min="4" max="4" width="23.28125" style="16" hidden="1" customWidth="1"/>
    <col min="5" max="5" width="54.00390625" style="16" customWidth="1"/>
    <col min="6" max="6" width="10.8515625" style="16" customWidth="1"/>
    <col min="7" max="7" width="9.28125" style="16" bestFit="1" customWidth="1"/>
    <col min="8" max="12" width="11.28125" style="16" customWidth="1"/>
    <col min="13" max="13" width="9.28125" style="16" customWidth="1"/>
    <col min="14" max="14" width="10.00390625" style="16" customWidth="1"/>
    <col min="15" max="15" width="14.57421875" style="16" customWidth="1"/>
    <col min="16" max="16" width="13.28125" style="16" customWidth="1"/>
    <col min="17" max="17" width="11.00390625" style="16" customWidth="1"/>
    <col min="18" max="16384" width="9.28125" style="16" customWidth="1"/>
  </cols>
  <sheetData>
    <row r="1" spans="1:5" ht="17.25">
      <c r="A1" s="68">
        <v>44196</v>
      </c>
      <c r="B1" s="32" t="s">
        <v>26</v>
      </c>
      <c r="C1" s="33"/>
      <c r="D1" s="34" t="str">
        <f>Company</f>
        <v>AB Electrolux</v>
      </c>
      <c r="E1" s="34" t="str">
        <f>Company</f>
        <v>AB Electrolux</v>
      </c>
    </row>
    <row r="2" spans="1:5" ht="12.75">
      <c r="A2" s="69"/>
      <c r="B2" s="32" t="s">
        <v>28</v>
      </c>
      <c r="C2" s="33"/>
      <c r="D2" s="35">
        <f>A1</f>
        <v>44196</v>
      </c>
      <c r="E2" s="36">
        <f>+A1</f>
        <v>44196</v>
      </c>
    </row>
    <row r="3" spans="1:5" ht="12.75">
      <c r="A3" s="69"/>
      <c r="B3" s="32" t="s">
        <v>29</v>
      </c>
      <c r="C3" s="33" t="s">
        <v>30</v>
      </c>
      <c r="D3" s="37" t="s">
        <v>31</v>
      </c>
      <c r="E3" s="37" t="s">
        <v>32</v>
      </c>
    </row>
    <row r="4" spans="1:5" ht="12.75">
      <c r="A4" s="66" t="s">
        <v>6</v>
      </c>
      <c r="B4" s="32" t="s">
        <v>33</v>
      </c>
      <c r="D4" s="14" t="s">
        <v>22</v>
      </c>
      <c r="E4" s="14" t="s">
        <v>22</v>
      </c>
    </row>
    <row r="5" spans="2:5" ht="12.75">
      <c r="B5" s="32" t="s">
        <v>35</v>
      </c>
      <c r="C5" s="33" t="s">
        <v>139</v>
      </c>
      <c r="D5" s="14"/>
      <c r="E5" s="14"/>
    </row>
    <row r="6" spans="1:15" s="44" customFormat="1" ht="15">
      <c r="A6" s="71" t="s">
        <v>7</v>
      </c>
      <c r="B6" s="41" t="s">
        <v>34</v>
      </c>
      <c r="C6" s="38" t="s">
        <v>139</v>
      </c>
      <c r="D6" s="53" t="s">
        <v>178</v>
      </c>
      <c r="E6" s="53" t="s">
        <v>178</v>
      </c>
      <c r="F6" s="44">
        <v>2014</v>
      </c>
      <c r="G6" s="44">
        <v>2015</v>
      </c>
      <c r="H6" s="44">
        <v>2016</v>
      </c>
      <c r="I6" s="44" t="s">
        <v>205</v>
      </c>
      <c r="J6" s="44">
        <v>2018</v>
      </c>
      <c r="K6" s="44">
        <v>2019</v>
      </c>
      <c r="L6" s="44">
        <v>2020</v>
      </c>
      <c r="M6" s="44">
        <v>2021</v>
      </c>
      <c r="N6" s="44">
        <v>2022</v>
      </c>
      <c r="O6" s="44">
        <v>2023</v>
      </c>
    </row>
    <row r="7" spans="1:5" s="13" customFormat="1" ht="12.75">
      <c r="A7" s="65" t="s">
        <v>177</v>
      </c>
      <c r="B7" s="80"/>
      <c r="C7" s="81"/>
      <c r="D7" s="82" t="s">
        <v>203</v>
      </c>
      <c r="E7" s="82" t="s">
        <v>203</v>
      </c>
    </row>
    <row r="8" spans="1:16" s="13" customFormat="1" ht="12.75">
      <c r="A8" s="66" t="s">
        <v>8</v>
      </c>
      <c r="B8" s="215" t="s">
        <v>11</v>
      </c>
      <c r="C8" s="66" t="s">
        <v>168</v>
      </c>
      <c r="D8" s="86" t="s">
        <v>25</v>
      </c>
      <c r="E8" s="86" t="s">
        <v>25</v>
      </c>
      <c r="F8" s="114">
        <v>1.1</v>
      </c>
      <c r="G8" s="114">
        <v>2.5</v>
      </c>
      <c r="H8" s="114">
        <v>-1</v>
      </c>
      <c r="I8" s="114">
        <v>-0.5</v>
      </c>
      <c r="J8" s="114">
        <v>1.2</v>
      </c>
      <c r="K8" s="114">
        <v>-1.3</v>
      </c>
      <c r="L8" s="114">
        <v>3.272559</v>
      </c>
      <c r="M8" s="114">
        <v>14.321726068706365</v>
      </c>
      <c r="N8" s="114">
        <v>-5.41</v>
      </c>
      <c r="O8" s="114">
        <v>-4.295506666356053</v>
      </c>
      <c r="P8" s="224"/>
    </row>
    <row r="9" spans="1:15" s="13" customFormat="1" ht="12.75">
      <c r="A9" s="66" t="s">
        <v>8</v>
      </c>
      <c r="B9" s="215" t="s">
        <v>11</v>
      </c>
      <c r="C9" s="66" t="s">
        <v>168</v>
      </c>
      <c r="D9" s="86" t="s">
        <v>172</v>
      </c>
      <c r="E9" s="86" t="s">
        <v>172</v>
      </c>
      <c r="F9" s="114">
        <v>1.1</v>
      </c>
      <c r="G9" s="114">
        <v>2.2</v>
      </c>
      <c r="H9" s="114">
        <v>1.1</v>
      </c>
      <c r="I9" s="114">
        <v>-0.4</v>
      </c>
      <c r="J9" s="114">
        <v>1.2</v>
      </c>
      <c r="K9" s="114">
        <v>-1</v>
      </c>
      <c r="L9" s="114">
        <v>3.1964637</v>
      </c>
      <c r="M9" s="114">
        <v>14.152638416946917</v>
      </c>
      <c r="N9" s="114">
        <v>-4.95</v>
      </c>
      <c r="O9" s="114">
        <v>-3.96</v>
      </c>
    </row>
    <row r="10" spans="1:15" s="13" customFormat="1" ht="12.75">
      <c r="A10" s="66" t="s">
        <v>8</v>
      </c>
      <c r="B10" s="215" t="s">
        <v>11</v>
      </c>
      <c r="C10" s="66" t="s">
        <v>168</v>
      </c>
      <c r="D10" s="86" t="s">
        <v>169</v>
      </c>
      <c r="E10" s="86" t="s">
        <v>169</v>
      </c>
      <c r="F10" s="114">
        <v>3.2</v>
      </c>
      <c r="G10" s="114">
        <v>2.2</v>
      </c>
      <c r="H10" s="114">
        <v>5.2</v>
      </c>
      <c r="I10" s="114">
        <v>6.1</v>
      </c>
      <c r="J10" s="114">
        <v>3.6</v>
      </c>
      <c r="K10" s="114">
        <v>2.7</v>
      </c>
      <c r="L10" s="114">
        <v>5</v>
      </c>
      <c r="M10" s="114">
        <v>5.413338941339432</v>
      </c>
      <c r="N10" s="114">
        <v>0.2299361764520247</v>
      </c>
      <c r="O10" s="114">
        <v>-2.2220437118012812</v>
      </c>
    </row>
    <row r="11" spans="1:15" s="13" customFormat="1" ht="15">
      <c r="A11" s="66" t="s">
        <v>8</v>
      </c>
      <c r="B11" s="216" t="s">
        <v>237</v>
      </c>
      <c r="C11" s="66" t="s">
        <v>168</v>
      </c>
      <c r="D11" s="86" t="s">
        <v>206</v>
      </c>
      <c r="E11" s="86" t="s">
        <v>206</v>
      </c>
      <c r="F11" s="114">
        <v>4.4</v>
      </c>
      <c r="G11" s="114">
        <v>4</v>
      </c>
      <c r="H11" s="114">
        <v>5.2</v>
      </c>
      <c r="I11" s="114">
        <v>6.1</v>
      </c>
      <c r="J11" s="114">
        <v>4.8</v>
      </c>
      <c r="K11" s="114">
        <v>3.8</v>
      </c>
      <c r="L11" s="114">
        <v>5</v>
      </c>
      <c r="M11" s="114">
        <v>5.992019173430376</v>
      </c>
      <c r="N11" s="114">
        <v>1.150850752227185</v>
      </c>
      <c r="O11" s="114">
        <v>0.30807999189140955</v>
      </c>
    </row>
    <row r="12" spans="1:15" s="13" customFormat="1" ht="15">
      <c r="A12" s="66" t="s">
        <v>8</v>
      </c>
      <c r="B12" s="215" t="s">
        <v>11</v>
      </c>
      <c r="C12" s="66" t="s">
        <v>180</v>
      </c>
      <c r="D12" s="18" t="s">
        <v>592</v>
      </c>
      <c r="E12" s="18" t="s">
        <v>592</v>
      </c>
      <c r="F12" s="11">
        <v>0.5848311877580763</v>
      </c>
      <c r="G12" s="11">
        <v>0.42699100299900034</v>
      </c>
      <c r="H12" s="11">
        <v>0.02029541098207239</v>
      </c>
      <c r="I12" s="11">
        <v>0.009564964070693339</v>
      </c>
      <c r="J12" s="11">
        <v>0.08</v>
      </c>
      <c r="K12" s="11">
        <v>0.34</v>
      </c>
      <c r="L12" s="11">
        <v>0.08</v>
      </c>
      <c r="M12" s="240">
        <v>0.4616159006387862</v>
      </c>
      <c r="N12" s="11">
        <v>1.7602436156899393</v>
      </c>
      <c r="O12" s="11">
        <v>2.3262683160776514</v>
      </c>
    </row>
    <row r="13" spans="1:15" s="13" customFormat="1" ht="15">
      <c r="A13" s="66" t="s">
        <v>8</v>
      </c>
      <c r="B13" s="215" t="s">
        <v>11</v>
      </c>
      <c r="C13" s="66" t="s">
        <v>168</v>
      </c>
      <c r="D13" s="18" t="s">
        <v>593</v>
      </c>
      <c r="E13" s="18" t="s">
        <v>593</v>
      </c>
      <c r="F13" s="10">
        <v>20.434864310433927</v>
      </c>
      <c r="G13" s="10">
        <v>17.29955078693081</v>
      </c>
      <c r="H13" s="10">
        <v>14.195623186132245</v>
      </c>
      <c r="I13" s="10">
        <v>17.5</v>
      </c>
      <c r="J13" s="10">
        <v>17.545921243907674</v>
      </c>
      <c r="K13" s="10">
        <v>22.270441375437162</v>
      </c>
      <c r="L13" s="10">
        <v>18.9</v>
      </c>
      <c r="M13" s="21">
        <v>21.1</v>
      </c>
      <c r="N13" s="10">
        <v>34.7</v>
      </c>
      <c r="O13" s="10">
        <v>29.4</v>
      </c>
    </row>
    <row r="14" spans="1:15" s="13" customFormat="1" ht="15">
      <c r="A14" s="66" t="s">
        <v>8</v>
      </c>
      <c r="B14" s="215" t="s">
        <v>11</v>
      </c>
      <c r="C14" s="66" t="s">
        <v>168</v>
      </c>
      <c r="D14" s="18" t="s">
        <v>594</v>
      </c>
      <c r="E14" s="18" t="s">
        <v>594</v>
      </c>
      <c r="F14" s="10">
        <v>11.215333782238995</v>
      </c>
      <c r="G14" s="10">
        <v>11.455741201564166</v>
      </c>
      <c r="H14" s="10">
        <v>10.524747038983449</v>
      </c>
      <c r="I14" s="10">
        <v>12.4</v>
      </c>
      <c r="J14" s="10">
        <v>13.350610328034875</v>
      </c>
      <c r="K14" s="10">
        <v>13.779899420519234</v>
      </c>
      <c r="L14" s="10">
        <v>12.3</v>
      </c>
      <c r="M14" s="21">
        <v>15.9</v>
      </c>
      <c r="N14" s="10">
        <v>18.2</v>
      </c>
      <c r="O14" s="10">
        <v>15.6</v>
      </c>
    </row>
    <row r="15" spans="1:15" s="13" customFormat="1" ht="15">
      <c r="A15" s="66" t="s">
        <v>8</v>
      </c>
      <c r="B15" s="215" t="s">
        <v>11</v>
      </c>
      <c r="C15" s="66" t="s">
        <v>168</v>
      </c>
      <c r="D15" s="18" t="s">
        <v>595</v>
      </c>
      <c r="E15" s="18" t="s">
        <v>595</v>
      </c>
      <c r="F15" s="10">
        <v>16.178612255124573</v>
      </c>
      <c r="G15" s="10">
        <v>14.33684516691982</v>
      </c>
      <c r="H15" s="10">
        <v>15.223154757235863</v>
      </c>
      <c r="I15" s="10">
        <v>17.5</v>
      </c>
      <c r="J15" s="10">
        <v>17.129094910288018</v>
      </c>
      <c r="K15" s="10">
        <v>17.73925918362137</v>
      </c>
      <c r="L15" s="10">
        <v>18.6</v>
      </c>
      <c r="M15" s="21">
        <v>17.9</v>
      </c>
      <c r="N15" s="10">
        <v>17.1</v>
      </c>
      <c r="O15" s="10">
        <v>17.4</v>
      </c>
    </row>
    <row r="16" spans="1:15" ht="12.75">
      <c r="A16" s="66" t="s">
        <v>8</v>
      </c>
      <c r="B16" s="215" t="s">
        <v>11</v>
      </c>
      <c r="C16" s="66"/>
      <c r="D16" s="18" t="s">
        <v>204</v>
      </c>
      <c r="E16" s="18" t="s">
        <v>204</v>
      </c>
      <c r="F16" s="10">
        <v>4.5</v>
      </c>
      <c r="G16" s="10">
        <v>5</v>
      </c>
      <c r="H16" s="10">
        <v>5.8</v>
      </c>
      <c r="I16" s="10">
        <v>5.9</v>
      </c>
      <c r="J16" s="10">
        <v>5.57</v>
      </c>
      <c r="K16" s="10">
        <v>4.5</v>
      </c>
      <c r="L16" s="10">
        <v>4.5</v>
      </c>
      <c r="M16" s="21">
        <v>5.26527465210322</v>
      </c>
      <c r="N16" s="10">
        <v>2.9352039560213643</v>
      </c>
      <c r="O16" s="10">
        <v>3.097891744499425</v>
      </c>
    </row>
    <row r="17" spans="1:15" ht="12.75">
      <c r="A17" s="66" t="s">
        <v>8</v>
      </c>
      <c r="B17" s="215" t="s">
        <v>11</v>
      </c>
      <c r="C17" s="66" t="s">
        <v>168</v>
      </c>
      <c r="D17" s="18" t="s">
        <v>176</v>
      </c>
      <c r="E17" s="18" t="s">
        <v>176</v>
      </c>
      <c r="F17" s="10">
        <v>14.22962909981006</v>
      </c>
      <c r="G17" s="10">
        <v>11.03098011123542</v>
      </c>
      <c r="H17" s="10">
        <v>29.937491053108744</v>
      </c>
      <c r="I17" s="10">
        <v>36</v>
      </c>
      <c r="J17" s="10">
        <v>20.2</v>
      </c>
      <c r="K17" s="10">
        <v>12</v>
      </c>
      <c r="L17" s="10">
        <v>22.6</v>
      </c>
      <c r="M17" s="21">
        <v>28.502716323651146</v>
      </c>
      <c r="N17" s="10">
        <v>0.6749095744573758</v>
      </c>
      <c r="O17" s="10">
        <v>-6.883650870936527</v>
      </c>
    </row>
    <row r="18" spans="1:15" ht="15">
      <c r="A18" s="66" t="s">
        <v>8</v>
      </c>
      <c r="B18" s="215" t="s">
        <v>11</v>
      </c>
      <c r="C18" s="66" t="s">
        <v>168</v>
      </c>
      <c r="D18" s="18" t="s">
        <v>596</v>
      </c>
      <c r="E18" s="18" t="s">
        <v>596</v>
      </c>
      <c r="F18" s="10">
        <v>15.655768613046938</v>
      </c>
      <c r="G18" s="10">
        <v>9.932977739487388</v>
      </c>
      <c r="H18" s="10">
        <v>29.412919950771165</v>
      </c>
      <c r="I18" s="10">
        <v>31.9</v>
      </c>
      <c r="J18" s="10">
        <v>18.2</v>
      </c>
      <c r="K18" s="10">
        <v>11.4</v>
      </c>
      <c r="L18" s="10">
        <v>34.1</v>
      </c>
      <c r="M18" s="21">
        <v>24.369384810327098</v>
      </c>
      <c r="N18" s="10">
        <v>-8.959294678827375</v>
      </c>
      <c r="O18" s="10">
        <v>-33.69586489728451</v>
      </c>
    </row>
    <row r="19" spans="1:15" ht="12.75">
      <c r="A19" s="66" t="s">
        <v>8</v>
      </c>
      <c r="B19" s="215" t="s">
        <v>11</v>
      </c>
      <c r="C19" s="66" t="s">
        <v>180</v>
      </c>
      <c r="D19" s="18" t="s">
        <v>611</v>
      </c>
      <c r="E19" s="18" t="s">
        <v>611</v>
      </c>
      <c r="F19" s="11">
        <v>5.1625</v>
      </c>
      <c r="G19" s="11">
        <v>3.7536041939711664</v>
      </c>
      <c r="H19" s="11">
        <v>3.7536041939711664</v>
      </c>
      <c r="I19" s="11">
        <v>12.163461538461538</v>
      </c>
      <c r="J19" s="11">
        <v>7.4</v>
      </c>
      <c r="K19" s="11">
        <v>2.57</v>
      </c>
      <c r="L19" s="11">
        <v>5.04</v>
      </c>
      <c r="M19" s="240">
        <v>7.29</v>
      </c>
      <c r="N19" s="11">
        <v>0.18</v>
      </c>
      <c r="O19" s="11">
        <v>-0.63</v>
      </c>
    </row>
    <row r="20" spans="1:15" ht="15">
      <c r="A20" s="66" t="s">
        <v>8</v>
      </c>
      <c r="B20" s="215" t="s">
        <v>11</v>
      </c>
      <c r="C20" s="66" t="s">
        <v>168</v>
      </c>
      <c r="D20" s="19" t="s">
        <v>614</v>
      </c>
      <c r="E20" s="19" t="s">
        <v>614</v>
      </c>
      <c r="F20" s="9">
        <v>11.30119018702939</v>
      </c>
      <c r="G20" s="9">
        <v>12.449720093302231</v>
      </c>
      <c r="H20" s="9">
        <v>10.531627015447063</v>
      </c>
      <c r="I20" s="9">
        <v>11.6</v>
      </c>
      <c r="J20" s="9">
        <v>11.2</v>
      </c>
      <c r="K20" s="9">
        <v>10.822184814388235</v>
      </c>
      <c r="L20" s="9">
        <f>2012/18709*100</f>
        <v>10.754182479020793</v>
      </c>
      <c r="M20" s="239">
        <v>12.3536</v>
      </c>
      <c r="N20" s="239">
        <v>15.3261596449632</v>
      </c>
      <c r="O20" s="239">
        <v>0</v>
      </c>
    </row>
    <row r="21" spans="1:14" ht="12.75">
      <c r="A21" s="66" t="s">
        <v>10</v>
      </c>
      <c r="B21" s="66"/>
      <c r="C21" s="66"/>
      <c r="M21" s="252"/>
      <c r="N21" s="252"/>
    </row>
    <row r="22" spans="1:14" ht="12.75">
      <c r="A22" s="66" t="s">
        <v>16</v>
      </c>
      <c r="B22" s="66"/>
      <c r="C22" s="66"/>
      <c r="D22" s="16" t="s">
        <v>207</v>
      </c>
      <c r="E22" s="16" t="s">
        <v>207</v>
      </c>
      <c r="M22" s="252"/>
      <c r="N22" s="252"/>
    </row>
    <row r="23" spans="1:5" ht="12.75">
      <c r="A23" s="66" t="s">
        <v>16</v>
      </c>
      <c r="B23" s="66"/>
      <c r="C23" s="66"/>
      <c r="D23" s="16" t="s">
        <v>210</v>
      </c>
      <c r="E23" s="16" t="s">
        <v>210</v>
      </c>
    </row>
    <row r="24" spans="1:5" ht="12.75">
      <c r="A24" s="66" t="s">
        <v>16</v>
      </c>
      <c r="B24" s="66"/>
      <c r="C24" s="66"/>
      <c r="D24" s="16" t="s">
        <v>612</v>
      </c>
      <c r="E24" s="16" t="s">
        <v>649</v>
      </c>
    </row>
    <row r="25" spans="1:5" ht="12.75">
      <c r="A25" s="66" t="s">
        <v>16</v>
      </c>
      <c r="D25" s="16" t="s">
        <v>597</v>
      </c>
      <c r="E25" s="16" t="s">
        <v>597</v>
      </c>
    </row>
    <row r="26" spans="1:5" ht="12.75">
      <c r="A26" s="66" t="s">
        <v>16</v>
      </c>
      <c r="D26" s="16" t="s">
        <v>613</v>
      </c>
      <c r="E26" s="16" t="s">
        <v>650</v>
      </c>
    </row>
    <row r="27" ht="12.75">
      <c r="A27" s="66" t="s">
        <v>10</v>
      </c>
    </row>
    <row r="28" spans="1:12" ht="118.5">
      <c r="A28" s="66" t="s">
        <v>615</v>
      </c>
      <c r="E28" s="61" t="s">
        <v>616</v>
      </c>
      <c r="F28" s="55"/>
      <c r="G28" s="55"/>
      <c r="H28" s="55"/>
      <c r="I28" s="55"/>
      <c r="J28" s="55"/>
      <c r="K28" s="55"/>
      <c r="L28" s="55"/>
    </row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spans="5:11" ht="12.75">
      <c r="E121"/>
      <c r="F121"/>
      <c r="G121"/>
      <c r="H121"/>
      <c r="I121"/>
      <c r="J121"/>
      <c r="K121"/>
    </row>
    <row r="122" spans="5:11" ht="12.75">
      <c r="E122"/>
      <c r="F122"/>
      <c r="G122"/>
      <c r="H122"/>
      <c r="I122"/>
      <c r="J122"/>
      <c r="K122"/>
    </row>
    <row r="123" spans="5:11" ht="12.75">
      <c r="E123"/>
      <c r="F123"/>
      <c r="G123"/>
      <c r="H123"/>
      <c r="I123"/>
      <c r="J123"/>
      <c r="K123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28" r:id="rId1"/>
  <headerFooter alignWithMargins="0">
    <oddHeader>&amp;L&amp;D/&amp;F</oddHeader>
    <oddFooter>&amp;L&amp;"Calibri"&amp;11&amp;K000000&amp;"Calibri"&amp;11&amp;K000000
&amp;1#&amp;"Calibri"&amp;8&amp;K000000 Classified as Internal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14"/>
  <sheetViews>
    <sheetView showGridLines="0" zoomScaleSheetLayoutView="100" zoomScalePageLayoutView="0" workbookViewId="0" topLeftCell="A1">
      <selection activeCell="O10" sqref="O10"/>
    </sheetView>
  </sheetViews>
  <sheetFormatPr defaultColWidth="9.28125" defaultRowHeight="12.75"/>
  <cols>
    <col min="1" max="1" width="11.28125" style="66" bestFit="1" customWidth="1"/>
    <col min="2" max="2" width="12.28125" style="16" bestFit="1" customWidth="1"/>
    <col min="3" max="3" width="11.28125" style="16" bestFit="1" customWidth="1"/>
    <col min="4" max="4" width="23.28125" style="16" hidden="1" customWidth="1"/>
    <col min="5" max="5" width="54.00390625" style="16" customWidth="1"/>
    <col min="6" max="13" width="7.57421875" style="16" bestFit="1" customWidth="1"/>
    <col min="14" max="16384" width="9.28125" style="16" customWidth="1"/>
  </cols>
  <sheetData>
    <row r="1" spans="1:5" ht="17.25">
      <c r="A1" s="68">
        <v>44196</v>
      </c>
      <c r="B1" s="32" t="s">
        <v>26</v>
      </c>
      <c r="C1" s="33"/>
      <c r="D1" s="34" t="str">
        <f>Company</f>
        <v>AB Electrolux</v>
      </c>
      <c r="E1" s="34" t="str">
        <f>Company</f>
        <v>AB Electrolux</v>
      </c>
    </row>
    <row r="2" spans="1:5" ht="12.75">
      <c r="A2" s="69"/>
      <c r="B2" s="32" t="s">
        <v>28</v>
      </c>
      <c r="C2" s="33"/>
      <c r="D2" s="35">
        <f>A1</f>
        <v>44196</v>
      </c>
      <c r="E2" s="36">
        <f>+A1</f>
        <v>44196</v>
      </c>
    </row>
    <row r="3" spans="1:5" ht="12.75">
      <c r="A3" s="69"/>
      <c r="B3" s="32" t="s">
        <v>29</v>
      </c>
      <c r="C3" s="33" t="s">
        <v>30</v>
      </c>
      <c r="D3" s="37" t="s">
        <v>31</v>
      </c>
      <c r="E3" s="37" t="s">
        <v>32</v>
      </c>
    </row>
    <row r="4" spans="1:5" ht="15">
      <c r="A4" s="66" t="s">
        <v>6</v>
      </c>
      <c r="B4" s="32" t="s">
        <v>33</v>
      </c>
      <c r="D4" s="15" t="s">
        <v>598</v>
      </c>
      <c r="E4" s="15" t="s">
        <v>626</v>
      </c>
    </row>
    <row r="5" spans="2:5" ht="12.75">
      <c r="B5" s="32" t="s">
        <v>35</v>
      </c>
      <c r="C5" s="33" t="s">
        <v>139</v>
      </c>
      <c r="D5" s="14"/>
      <c r="E5" s="14"/>
    </row>
    <row r="6" spans="1:15" s="44" customFormat="1" ht="12.75">
      <c r="A6" s="71" t="s">
        <v>7</v>
      </c>
      <c r="B6" s="41" t="s">
        <v>34</v>
      </c>
      <c r="C6" s="38" t="s">
        <v>139</v>
      </c>
      <c r="D6" s="53" t="s">
        <v>178</v>
      </c>
      <c r="E6" s="53" t="s">
        <v>178</v>
      </c>
      <c r="F6" s="44">
        <v>2014</v>
      </c>
      <c r="G6" s="44">
        <v>2015</v>
      </c>
      <c r="H6" s="44">
        <v>2016</v>
      </c>
      <c r="I6" s="44">
        <v>2017</v>
      </c>
      <c r="J6" s="44">
        <v>2018</v>
      </c>
      <c r="K6" s="44">
        <v>2019</v>
      </c>
      <c r="L6" s="44">
        <v>2020</v>
      </c>
      <c r="M6" s="44">
        <v>2021</v>
      </c>
      <c r="N6" s="44">
        <v>2022</v>
      </c>
      <c r="O6" s="44">
        <v>2023</v>
      </c>
    </row>
    <row r="7" spans="1:5" s="13" customFormat="1" ht="12.75">
      <c r="A7" s="65" t="s">
        <v>177</v>
      </c>
      <c r="B7" s="80"/>
      <c r="C7" s="81"/>
      <c r="D7" s="82" t="s">
        <v>163</v>
      </c>
      <c r="E7" s="82" t="s">
        <v>163</v>
      </c>
    </row>
    <row r="8" spans="1:15" ht="15">
      <c r="A8" s="66" t="s">
        <v>8</v>
      </c>
      <c r="B8" s="66"/>
      <c r="C8" s="66" t="s">
        <v>170</v>
      </c>
      <c r="D8" s="18" t="s">
        <v>125</v>
      </c>
      <c r="E8" s="18" t="s">
        <v>125</v>
      </c>
      <c r="F8" s="11">
        <v>7.831083323145706</v>
      </c>
      <c r="G8" s="11">
        <v>5.45</v>
      </c>
      <c r="H8" s="11">
        <v>15.64</v>
      </c>
      <c r="I8" s="11">
        <v>19.99</v>
      </c>
      <c r="J8" s="11">
        <v>13.24</v>
      </c>
      <c r="K8" s="11">
        <v>8.73</v>
      </c>
      <c r="L8" s="11">
        <v>22.91</v>
      </c>
      <c r="M8" s="240">
        <v>16.31</v>
      </c>
      <c r="N8" s="11">
        <v>-4.81</v>
      </c>
      <c r="O8" s="11">
        <v>-19.36</v>
      </c>
    </row>
    <row r="9" spans="1:16" ht="12.75">
      <c r="A9" s="66" t="s">
        <v>8</v>
      </c>
      <c r="B9" s="66"/>
      <c r="C9" s="66" t="s">
        <v>170</v>
      </c>
      <c r="D9" s="18" t="s">
        <v>24</v>
      </c>
      <c r="E9" s="18" t="s">
        <v>24</v>
      </c>
      <c r="F9" s="11">
        <v>57.516065940206765</v>
      </c>
      <c r="G9" s="11">
        <v>52.21000915110457</v>
      </c>
      <c r="H9" s="11">
        <v>61.718858733472516</v>
      </c>
      <c r="I9" s="11">
        <v>71.26</v>
      </c>
      <c r="J9" s="11">
        <v>75.67</v>
      </c>
      <c r="K9" s="11">
        <v>78.55</v>
      </c>
      <c r="L9" s="11">
        <v>65.1</v>
      </c>
      <c r="M9" s="240">
        <v>65.74</v>
      </c>
      <c r="N9" s="11">
        <v>60.92</v>
      </c>
      <c r="O9" s="11">
        <v>41.75</v>
      </c>
      <c r="P9" s="11"/>
    </row>
    <row r="10" spans="1:16" ht="12.75">
      <c r="A10" s="66" t="s">
        <v>8</v>
      </c>
      <c r="B10" s="214" t="s">
        <v>237</v>
      </c>
      <c r="C10" s="66" t="s">
        <v>170</v>
      </c>
      <c r="D10" s="18" t="s">
        <v>162</v>
      </c>
      <c r="E10" s="18" t="s">
        <v>162</v>
      </c>
      <c r="F10" s="54">
        <v>6.5</v>
      </c>
      <c r="G10" s="54">
        <v>6.5</v>
      </c>
      <c r="H10" s="54">
        <v>7.5</v>
      </c>
      <c r="I10" s="54">
        <v>8.3</v>
      </c>
      <c r="J10" s="54">
        <v>8.5</v>
      </c>
      <c r="K10" s="54">
        <v>7</v>
      </c>
      <c r="L10" s="54">
        <v>8</v>
      </c>
      <c r="M10" s="241">
        <v>9.2</v>
      </c>
      <c r="N10" s="253" t="s">
        <v>2</v>
      </c>
      <c r="O10" s="253" t="s">
        <v>2</v>
      </c>
      <c r="P10" s="11"/>
    </row>
    <row r="11" spans="1:16" ht="12.75">
      <c r="A11" s="66" t="s">
        <v>10</v>
      </c>
      <c r="B11" s="66"/>
      <c r="C11" s="66"/>
      <c r="M11" s="54"/>
      <c r="N11" s="54"/>
      <c r="P11" s="54"/>
    </row>
    <row r="12" spans="1:5" ht="12.75">
      <c r="A12" s="66" t="s">
        <v>16</v>
      </c>
      <c r="B12" s="66"/>
      <c r="C12" s="66"/>
      <c r="D12" s="16" t="s">
        <v>585</v>
      </c>
      <c r="E12" s="16" t="s">
        <v>585</v>
      </c>
    </row>
    <row r="13" ht="12.75">
      <c r="A13" s="66" t="s">
        <v>10</v>
      </c>
    </row>
    <row r="14" spans="1:13" ht="118.5">
      <c r="A14" s="66" t="s">
        <v>615</v>
      </c>
      <c r="E14" s="31" t="s">
        <v>648</v>
      </c>
      <c r="F14" s="55"/>
      <c r="G14" s="55"/>
      <c r="H14" s="55"/>
      <c r="I14" s="55"/>
      <c r="J14" s="55"/>
      <c r="K14" s="55"/>
      <c r="L14" s="55"/>
      <c r="M14" s="55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4" r:id="rId1"/>
  <headerFooter alignWithMargins="0">
    <oddHeader>&amp;L&amp;D/&amp;F</oddHeader>
    <oddFooter>&amp;L&amp;"Calibri"&amp;11&amp;K000000&amp;"Calibri"&amp;11&amp;K000000
&amp;1#&amp;"Calibri"&amp;8&amp;K000000 Classified as Internal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18"/>
  <sheetViews>
    <sheetView zoomScaleSheetLayoutView="100" zoomScalePageLayoutView="0" workbookViewId="0" topLeftCell="C4">
      <selection activeCell="O6" sqref="O6"/>
    </sheetView>
  </sheetViews>
  <sheetFormatPr defaultColWidth="9.28125" defaultRowHeight="12.75"/>
  <cols>
    <col min="1" max="1" width="11.28125" style="106" bestFit="1" customWidth="1"/>
    <col min="2" max="2" width="12.28125" style="91" bestFit="1" customWidth="1"/>
    <col min="3" max="3" width="11.28125" style="91" bestFit="1" customWidth="1"/>
    <col min="4" max="4" width="23.28125" style="91" hidden="1" customWidth="1"/>
    <col min="5" max="5" width="40.28125" style="91" bestFit="1" customWidth="1"/>
    <col min="6" max="16384" width="9.28125" style="91" customWidth="1"/>
  </cols>
  <sheetData>
    <row r="1" spans="1:5" ht="17.25">
      <c r="A1" s="68">
        <v>44196</v>
      </c>
      <c r="B1" s="87" t="s">
        <v>26</v>
      </c>
      <c r="C1" s="88"/>
      <c r="D1" s="89" t="s">
        <v>140</v>
      </c>
      <c r="E1" s="90" t="s">
        <v>140</v>
      </c>
    </row>
    <row r="2" spans="1:5" ht="12.75">
      <c r="A2" s="92"/>
      <c r="B2" s="87" t="s">
        <v>28</v>
      </c>
      <c r="C2" s="88"/>
      <c r="D2" s="93">
        <f>A1</f>
        <v>44196</v>
      </c>
      <c r="E2" s="94">
        <f>A1</f>
        <v>44196</v>
      </c>
    </row>
    <row r="3" spans="1:5" ht="24.75" customHeight="1">
      <c r="A3" s="92"/>
      <c r="B3" s="87" t="s">
        <v>29</v>
      </c>
      <c r="C3" s="88" t="s">
        <v>30</v>
      </c>
      <c r="D3" s="95" t="s">
        <v>31</v>
      </c>
      <c r="E3" s="96" t="s">
        <v>32</v>
      </c>
    </row>
    <row r="4" spans="1:5" ht="15">
      <c r="A4" s="92" t="s">
        <v>6</v>
      </c>
      <c r="B4" s="87" t="s">
        <v>33</v>
      </c>
      <c r="C4" s="97"/>
      <c r="D4" s="98" t="s">
        <v>599</v>
      </c>
      <c r="E4" s="98" t="s">
        <v>629</v>
      </c>
    </row>
    <row r="5" spans="1:5" ht="12.75">
      <c r="A5" s="92"/>
      <c r="B5" s="87" t="s">
        <v>35</v>
      </c>
      <c r="C5" s="97" t="s">
        <v>139</v>
      </c>
      <c r="D5" s="99"/>
      <c r="E5" s="99"/>
    </row>
    <row r="6" spans="1:15" s="105" customFormat="1" ht="12.75">
      <c r="A6" s="100" t="s">
        <v>7</v>
      </c>
      <c r="B6" s="101" t="s">
        <v>34</v>
      </c>
      <c r="C6" s="102" t="s">
        <v>139</v>
      </c>
      <c r="D6" s="103" t="s">
        <v>212</v>
      </c>
      <c r="E6" s="103" t="s">
        <v>212</v>
      </c>
      <c r="F6" s="104" t="s">
        <v>213</v>
      </c>
      <c r="G6" s="104" t="s">
        <v>214</v>
      </c>
      <c r="H6" s="104" t="s">
        <v>215</v>
      </c>
      <c r="I6" s="104" t="s">
        <v>216</v>
      </c>
      <c r="J6" s="104" t="s">
        <v>217</v>
      </c>
      <c r="K6" s="104" t="s">
        <v>603</v>
      </c>
      <c r="L6" s="104">
        <v>2020</v>
      </c>
      <c r="M6" s="225">
        <v>2021</v>
      </c>
      <c r="N6" s="225">
        <v>2022</v>
      </c>
      <c r="O6" s="225">
        <v>2023</v>
      </c>
    </row>
    <row r="7" spans="1:15" ht="12.75">
      <c r="A7" s="106" t="s">
        <v>8</v>
      </c>
      <c r="B7" s="106"/>
      <c r="C7" s="107"/>
      <c r="D7" s="99" t="s">
        <v>218</v>
      </c>
      <c r="E7" s="99" t="s">
        <v>218</v>
      </c>
      <c r="F7" s="108">
        <v>14704</v>
      </c>
      <c r="G7" s="108">
        <v>13096</v>
      </c>
      <c r="H7" s="108">
        <v>10202</v>
      </c>
      <c r="I7" s="108">
        <v>9537</v>
      </c>
      <c r="J7" s="108">
        <v>10260</v>
      </c>
      <c r="K7" s="108">
        <v>11856</v>
      </c>
      <c r="L7" s="108">
        <v>15727</v>
      </c>
      <c r="M7" s="108">
        <v>15880.6465119</v>
      </c>
      <c r="N7" s="108">
        <v>40728.2013997</v>
      </c>
      <c r="O7" s="108">
        <v>36725.4744755</v>
      </c>
    </row>
    <row r="8" spans="1:15" ht="12.75">
      <c r="A8" s="106" t="s">
        <v>8</v>
      </c>
      <c r="B8" s="106"/>
      <c r="C8" s="107"/>
      <c r="D8" s="99" t="s">
        <v>218</v>
      </c>
      <c r="E8" s="99" t="s">
        <v>647</v>
      </c>
      <c r="F8" s="108"/>
      <c r="G8" s="108"/>
      <c r="H8" s="108"/>
      <c r="I8" s="108"/>
      <c r="J8" s="108"/>
      <c r="K8" s="108"/>
      <c r="L8" s="108"/>
      <c r="M8" s="108"/>
      <c r="N8" s="108">
        <v>185</v>
      </c>
      <c r="O8" s="108">
        <v>185</v>
      </c>
    </row>
    <row r="9" spans="1:15" ht="12.75">
      <c r="A9" s="106" t="s">
        <v>8</v>
      </c>
      <c r="B9" s="106"/>
      <c r="C9" s="107"/>
      <c r="D9" s="99" t="s">
        <v>219</v>
      </c>
      <c r="E9" s="99" t="s">
        <v>219</v>
      </c>
      <c r="F9" s="108">
        <v>9835</v>
      </c>
      <c r="G9" s="108">
        <v>11199</v>
      </c>
      <c r="H9" s="108">
        <v>14011</v>
      </c>
      <c r="I9" s="108">
        <v>11974</v>
      </c>
      <c r="J9" s="108">
        <v>12249</v>
      </c>
      <c r="K9" s="108">
        <v>11189</v>
      </c>
      <c r="L9" s="108">
        <v>20467</v>
      </c>
      <c r="M9" s="108">
        <v>11235.731096900003</v>
      </c>
      <c r="N9" s="108">
        <v>17800</v>
      </c>
      <c r="O9" s="108">
        <v>15669</v>
      </c>
    </row>
    <row r="10" spans="1:15" s="111" customFormat="1" ht="12.75">
      <c r="A10" s="109" t="s">
        <v>220</v>
      </c>
      <c r="B10" s="217" t="s">
        <v>237</v>
      </c>
      <c r="C10" s="107"/>
      <c r="D10" s="98" t="s">
        <v>160</v>
      </c>
      <c r="E10" s="98" t="s">
        <v>160</v>
      </c>
      <c r="F10" s="110">
        <v>4869</v>
      </c>
      <c r="G10" s="110">
        <v>1898</v>
      </c>
      <c r="H10" s="110">
        <v>-3809</v>
      </c>
      <c r="I10" s="110">
        <v>-2437</v>
      </c>
      <c r="J10" s="110">
        <v>-1989</v>
      </c>
      <c r="K10" s="110">
        <v>667</v>
      </c>
      <c r="L10" s="110">
        <v>-4741</v>
      </c>
      <c r="M10" s="110">
        <v>4644.915414999998</v>
      </c>
      <c r="N10" s="110">
        <v>19828</v>
      </c>
      <c r="O10" s="110">
        <v>20871</v>
      </c>
    </row>
    <row r="11" spans="1:15" ht="26.25">
      <c r="A11" s="106" t="s">
        <v>8</v>
      </c>
      <c r="B11" s="106"/>
      <c r="C11" s="107"/>
      <c r="D11" s="99" t="s">
        <v>221</v>
      </c>
      <c r="E11" s="99" t="s">
        <v>221</v>
      </c>
      <c r="F11" s="108">
        <v>4763</v>
      </c>
      <c r="G11" s="108">
        <v>4509</v>
      </c>
      <c r="H11" s="108">
        <v>4169</v>
      </c>
      <c r="I11" s="108">
        <v>2634</v>
      </c>
      <c r="J11" s="108">
        <v>3814</v>
      </c>
      <c r="K11" s="108">
        <v>3866</v>
      </c>
      <c r="L11" s="108">
        <v>3679</v>
      </c>
      <c r="M11" s="108">
        <v>890.9580339999998</v>
      </c>
      <c r="N11" s="108">
        <v>-245</v>
      </c>
      <c r="O11" s="108">
        <v>670</v>
      </c>
    </row>
    <row r="12" spans="1:15" ht="12.75">
      <c r="A12" s="106" t="s">
        <v>8</v>
      </c>
      <c r="B12" s="106"/>
      <c r="C12" s="107"/>
      <c r="D12" s="99" t="s">
        <v>604</v>
      </c>
      <c r="E12" s="99" t="s">
        <v>604</v>
      </c>
      <c r="F12" s="108"/>
      <c r="G12" s="108"/>
      <c r="H12" s="108"/>
      <c r="I12" s="108"/>
      <c r="J12" s="108"/>
      <c r="K12" s="108">
        <v>3150</v>
      </c>
      <c r="L12" s="108">
        <v>2618</v>
      </c>
      <c r="M12" s="108">
        <v>3054.9113965000006</v>
      </c>
      <c r="N12" s="108">
        <v>4264</v>
      </c>
      <c r="O12" s="108">
        <v>4685</v>
      </c>
    </row>
    <row r="13" spans="1:15" s="111" customFormat="1" ht="12.75">
      <c r="A13" s="109" t="s">
        <v>220</v>
      </c>
      <c r="B13" s="215" t="s">
        <v>11</v>
      </c>
      <c r="C13" s="109"/>
      <c r="D13" s="98" t="s">
        <v>159</v>
      </c>
      <c r="E13" s="98" t="s">
        <v>159</v>
      </c>
      <c r="F13" s="110">
        <v>9632</v>
      </c>
      <c r="G13" s="110">
        <v>6407</v>
      </c>
      <c r="H13" s="110">
        <v>360</v>
      </c>
      <c r="I13" s="110">
        <v>197</v>
      </c>
      <c r="J13" s="110">
        <v>1825</v>
      </c>
      <c r="K13" s="110">
        <v>7683</v>
      </c>
      <c r="L13" s="110">
        <v>1556</v>
      </c>
      <c r="M13" s="110">
        <v>8590.784845499998</v>
      </c>
      <c r="N13" s="110">
        <v>23848</v>
      </c>
      <c r="O13" s="110">
        <v>26226</v>
      </c>
    </row>
    <row r="14" spans="1:15" ht="12.75">
      <c r="A14" s="106" t="s">
        <v>8</v>
      </c>
      <c r="B14" s="215" t="s">
        <v>11</v>
      </c>
      <c r="C14" s="106" t="s">
        <v>180</v>
      </c>
      <c r="D14" s="99" t="s">
        <v>126</v>
      </c>
      <c r="E14" s="99" t="s">
        <v>126</v>
      </c>
      <c r="F14" s="112">
        <v>0.5848311877580763</v>
      </c>
      <c r="G14" s="112">
        <v>0.42699100299900034</v>
      </c>
      <c r="H14" s="112">
        <v>0.02029541098207239</v>
      </c>
      <c r="I14" s="112">
        <v>0.009564964070693339</v>
      </c>
      <c r="J14" s="112">
        <f>+J13/'Financial_Position-Y'!J14</f>
        <v>0.083911903995586</v>
      </c>
      <c r="K14" s="112">
        <f>+K13/'Financial_Position-Y'!K14</f>
        <v>0.3403473022060778</v>
      </c>
      <c r="L14" s="112">
        <v>0.08</v>
      </c>
      <c r="M14" s="112">
        <v>0.4616159162484691</v>
      </c>
      <c r="N14" s="112">
        <v>1.45</v>
      </c>
      <c r="O14" s="112"/>
    </row>
    <row r="15" spans="1:3" s="16" customFormat="1" ht="12.75">
      <c r="A15" s="66" t="s">
        <v>10</v>
      </c>
      <c r="B15" s="66"/>
      <c r="C15" s="66"/>
    </row>
    <row r="16" spans="1:5" s="16" customFormat="1" ht="12.75">
      <c r="A16" s="66" t="s">
        <v>16</v>
      </c>
      <c r="B16" s="66"/>
      <c r="C16" s="66"/>
      <c r="D16" s="16" t="s">
        <v>610</v>
      </c>
      <c r="E16" s="16" t="s">
        <v>610</v>
      </c>
    </row>
    <row r="17" spans="1:13" ht="12.75">
      <c r="A17" s="66" t="s">
        <v>10</v>
      </c>
      <c r="B17" s="16"/>
      <c r="C17" s="16"/>
      <c r="D17" s="16"/>
      <c r="E17" s="16"/>
      <c r="M17" s="108"/>
    </row>
    <row r="18" spans="1:12" s="16" customFormat="1" ht="144.75">
      <c r="A18" s="66" t="s">
        <v>615</v>
      </c>
      <c r="E18" s="61" t="s">
        <v>616</v>
      </c>
      <c r="F18" s="55"/>
      <c r="G18" s="55"/>
      <c r="H18" s="55"/>
      <c r="I18" s="55"/>
      <c r="J18" s="55"/>
      <c r="K18" s="55"/>
      <c r="L18" s="55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&amp;L&amp;D/&amp;F</oddHeader>
    <oddFooter>&amp;L&amp;"Calibri"&amp;11&amp;K000000&amp;"Calibri"&amp;11&amp;K000000
&amp;1#&amp;"Calibri"&amp;8&amp;K000000 Classified as Internal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15"/>
  <sheetViews>
    <sheetView zoomScaleSheetLayoutView="100" zoomScalePageLayoutView="0" workbookViewId="0" topLeftCell="C3">
      <selection activeCell="N18" sqref="N18"/>
    </sheetView>
  </sheetViews>
  <sheetFormatPr defaultColWidth="9.28125" defaultRowHeight="12.75"/>
  <cols>
    <col min="1" max="1" width="11.28125" style="66" bestFit="1" customWidth="1"/>
    <col min="2" max="2" width="12.28125" style="16" bestFit="1" customWidth="1"/>
    <col min="3" max="3" width="11.28125" style="16" bestFit="1" customWidth="1"/>
    <col min="4" max="4" width="23.28125" style="16" hidden="1" customWidth="1"/>
    <col min="5" max="5" width="30.7109375" style="16" customWidth="1"/>
    <col min="6" max="16384" width="9.28125" style="16" customWidth="1"/>
  </cols>
  <sheetData>
    <row r="1" spans="1:5" ht="17.25">
      <c r="A1" s="68">
        <v>44196</v>
      </c>
      <c r="B1" s="32" t="s">
        <v>26</v>
      </c>
      <c r="C1" s="33"/>
      <c r="D1" s="34" t="str">
        <f>Company</f>
        <v>AB Electrolux</v>
      </c>
      <c r="E1" s="34" t="str">
        <f>Company</f>
        <v>AB Electrolux</v>
      </c>
    </row>
    <row r="2" spans="1:5" ht="12.75">
      <c r="A2" s="69"/>
      <c r="B2" s="32" t="s">
        <v>28</v>
      </c>
      <c r="C2" s="33"/>
      <c r="D2" s="35">
        <f>A1</f>
        <v>44196</v>
      </c>
      <c r="E2" s="36">
        <f>+D2</f>
        <v>44196</v>
      </c>
    </row>
    <row r="3" spans="1:5" ht="12.75">
      <c r="A3" s="69"/>
      <c r="B3" s="32" t="s">
        <v>29</v>
      </c>
      <c r="C3" s="33" t="s">
        <v>30</v>
      </c>
      <c r="D3" s="37" t="s">
        <v>31</v>
      </c>
      <c r="E3" s="37" t="s">
        <v>32</v>
      </c>
    </row>
    <row r="4" spans="1:5" ht="15">
      <c r="A4" s="66" t="s">
        <v>6</v>
      </c>
      <c r="B4" s="32" t="s">
        <v>33</v>
      </c>
      <c r="D4" s="24" t="s">
        <v>600</v>
      </c>
      <c r="E4" s="24" t="s">
        <v>630</v>
      </c>
    </row>
    <row r="5" spans="2:5" ht="12.75">
      <c r="B5" s="32" t="s">
        <v>35</v>
      </c>
      <c r="D5" s="14"/>
      <c r="E5" s="14"/>
    </row>
    <row r="6" spans="1:15" s="17" customFormat="1" ht="12.75">
      <c r="A6" s="67" t="s">
        <v>7</v>
      </c>
      <c r="B6" s="41" t="s">
        <v>34</v>
      </c>
      <c r="C6" s="38"/>
      <c r="F6" s="30">
        <v>2014</v>
      </c>
      <c r="G6" s="30">
        <v>2015</v>
      </c>
      <c r="H6" s="30">
        <v>2016</v>
      </c>
      <c r="I6" s="30">
        <v>2017</v>
      </c>
      <c r="J6" s="30">
        <v>2018</v>
      </c>
      <c r="K6" s="30">
        <v>2019</v>
      </c>
      <c r="L6" s="30">
        <v>2020</v>
      </c>
      <c r="M6" s="44">
        <v>2021</v>
      </c>
      <c r="N6" s="44">
        <v>2022</v>
      </c>
      <c r="O6" s="44">
        <v>2023</v>
      </c>
    </row>
    <row r="7" spans="1:5" ht="12.75">
      <c r="A7" s="66" t="s">
        <v>7</v>
      </c>
      <c r="B7" s="66"/>
      <c r="C7" s="66"/>
      <c r="D7" s="14" t="s">
        <v>131</v>
      </c>
      <c r="E7" s="24" t="s">
        <v>623</v>
      </c>
    </row>
    <row r="8" spans="1:15" s="6" customFormat="1" ht="12.75">
      <c r="A8" s="66" t="s">
        <v>8</v>
      </c>
      <c r="B8" s="66"/>
      <c r="C8" s="66"/>
      <c r="D8" s="42" t="s">
        <v>127</v>
      </c>
      <c r="E8" s="42" t="s">
        <v>127</v>
      </c>
      <c r="F8" s="1" t="s">
        <v>133</v>
      </c>
      <c r="G8" s="1" t="s">
        <v>137</v>
      </c>
      <c r="H8" s="1" t="s">
        <v>184</v>
      </c>
      <c r="I8" s="1" t="s">
        <v>184</v>
      </c>
      <c r="J8" s="1" t="s">
        <v>184</v>
      </c>
      <c r="K8" s="1" t="s">
        <v>184</v>
      </c>
      <c r="L8" s="1" t="s">
        <v>184</v>
      </c>
      <c r="M8" s="1" t="s">
        <v>184</v>
      </c>
      <c r="N8" s="1" t="s">
        <v>184</v>
      </c>
      <c r="O8" s="1" t="s">
        <v>133</v>
      </c>
    </row>
    <row r="9" spans="1:15" s="6" customFormat="1" ht="12.75">
      <c r="A9" s="66" t="s">
        <v>8</v>
      </c>
      <c r="B9" s="66"/>
      <c r="C9" s="66"/>
      <c r="D9" s="42" t="s">
        <v>128</v>
      </c>
      <c r="E9" s="42" t="s">
        <v>128</v>
      </c>
      <c r="F9" s="3" t="s">
        <v>134</v>
      </c>
      <c r="G9" s="3" t="s">
        <v>134</v>
      </c>
      <c r="H9" s="3" t="s">
        <v>134</v>
      </c>
      <c r="I9" s="3" t="s">
        <v>134</v>
      </c>
      <c r="J9" s="3" t="s">
        <v>134</v>
      </c>
      <c r="K9" s="3" t="s">
        <v>134</v>
      </c>
      <c r="L9" s="3" t="s">
        <v>134</v>
      </c>
      <c r="M9" s="3" t="s">
        <v>134</v>
      </c>
      <c r="N9" s="16" t="s">
        <v>652</v>
      </c>
      <c r="O9" s="3" t="s">
        <v>134</v>
      </c>
    </row>
    <row r="10" spans="1:15" s="6" customFormat="1" ht="12.75">
      <c r="A10" s="66" t="s">
        <v>8</v>
      </c>
      <c r="B10" s="66"/>
      <c r="C10" s="66"/>
      <c r="D10" s="42" t="s">
        <v>129</v>
      </c>
      <c r="E10" s="42" t="s">
        <v>129</v>
      </c>
      <c r="F10" s="3" t="s">
        <v>135</v>
      </c>
      <c r="G10" s="3" t="s">
        <v>135</v>
      </c>
      <c r="H10" s="3" t="s">
        <v>135</v>
      </c>
      <c r="I10" s="3" t="s">
        <v>135</v>
      </c>
      <c r="J10" s="3" t="s">
        <v>135</v>
      </c>
      <c r="K10" s="3" t="s">
        <v>135</v>
      </c>
      <c r="L10" s="3" t="s">
        <v>135</v>
      </c>
      <c r="M10" s="3" t="s">
        <v>135</v>
      </c>
      <c r="N10" s="3" t="s">
        <v>135</v>
      </c>
      <c r="O10" s="3" t="s">
        <v>135</v>
      </c>
    </row>
    <row r="11" spans="1:15" s="6" customFormat="1" ht="12.75">
      <c r="A11" s="66" t="s">
        <v>8</v>
      </c>
      <c r="B11" s="66"/>
      <c r="C11" s="66"/>
      <c r="D11" s="42" t="s">
        <v>132</v>
      </c>
      <c r="E11" s="42" t="s">
        <v>132</v>
      </c>
      <c r="F11" s="1" t="s">
        <v>136</v>
      </c>
      <c r="G11" s="1" t="s">
        <v>155</v>
      </c>
      <c r="H11" s="1" t="s">
        <v>155</v>
      </c>
      <c r="I11" s="1" t="s">
        <v>155</v>
      </c>
      <c r="J11" s="1" t="s">
        <v>155</v>
      </c>
      <c r="K11" s="1" t="s">
        <v>155</v>
      </c>
      <c r="L11" s="1" t="s">
        <v>155</v>
      </c>
      <c r="M11" s="1" t="s">
        <v>155</v>
      </c>
      <c r="N11" s="1" t="s">
        <v>155</v>
      </c>
      <c r="O11" s="1" t="s">
        <v>136</v>
      </c>
    </row>
    <row r="12" spans="1:3" ht="12.75">
      <c r="A12" s="66" t="s">
        <v>10</v>
      </c>
      <c r="B12" s="66"/>
      <c r="C12" s="66"/>
    </row>
    <row r="13" spans="1:5" ht="12.75">
      <c r="A13" s="66" t="s">
        <v>16</v>
      </c>
      <c r="B13" s="66"/>
      <c r="C13" s="66"/>
      <c r="D13" s="16" t="s">
        <v>585</v>
      </c>
      <c r="E13" s="16" t="s">
        <v>585</v>
      </c>
    </row>
    <row r="14" ht="12.75">
      <c r="A14" s="66" t="s">
        <v>10</v>
      </c>
    </row>
    <row r="15" spans="1:11" ht="184.5">
      <c r="A15" s="66" t="s">
        <v>615</v>
      </c>
      <c r="E15" s="31" t="s">
        <v>648</v>
      </c>
      <c r="F15" s="55"/>
      <c r="G15" s="55"/>
      <c r="H15" s="55"/>
      <c r="I15" s="55"/>
      <c r="J15" s="55"/>
      <c r="K15" s="55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&amp;L&amp;D/&amp;F</oddHeader>
    <oddFooter>&amp;L&amp;"Calibri"&amp;11&amp;K000000&amp;"Calibri"&amp;11&amp;K000000
&amp;1#&amp;"Calibri"&amp;8&amp;K000000 Classified as Internal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17"/>
  <sheetViews>
    <sheetView zoomScalePageLayoutView="0" workbookViewId="0" topLeftCell="A1">
      <selection activeCell="K9" sqref="K9"/>
    </sheetView>
  </sheetViews>
  <sheetFormatPr defaultColWidth="9.28125" defaultRowHeight="12.75"/>
  <cols>
    <col min="1" max="1" width="12.28125" style="66" bestFit="1" customWidth="1"/>
    <col min="2" max="2" width="12.28125" style="27" bestFit="1" customWidth="1"/>
    <col min="3" max="3" width="11.28125" style="27" customWidth="1"/>
    <col min="4" max="4" width="45.7109375" style="27" hidden="1" customWidth="1"/>
    <col min="5" max="5" width="37.7109375" style="27" customWidth="1"/>
    <col min="6" max="11" width="11.57421875" style="55" customWidth="1"/>
    <col min="12" max="16384" width="9.28125" style="16" customWidth="1"/>
  </cols>
  <sheetData>
    <row r="1" spans="1:5" ht="17.25">
      <c r="A1" s="68">
        <v>44196</v>
      </c>
      <c r="B1" s="32" t="s">
        <v>26</v>
      </c>
      <c r="C1" s="33"/>
      <c r="D1" s="34" t="str">
        <f>Company</f>
        <v>AB Electrolux</v>
      </c>
      <c r="E1" s="49" t="str">
        <f>Company</f>
        <v>AB Electrolux</v>
      </c>
    </row>
    <row r="2" spans="1:5" ht="12.75">
      <c r="A2" s="69"/>
      <c r="B2" s="32" t="s">
        <v>28</v>
      </c>
      <c r="C2" s="33"/>
      <c r="D2" s="35">
        <f>A1</f>
        <v>44196</v>
      </c>
      <c r="E2" s="35">
        <f>A1</f>
        <v>44196</v>
      </c>
    </row>
    <row r="3" spans="1:11" ht="12.75">
      <c r="A3" s="69"/>
      <c r="B3" s="32" t="s">
        <v>29</v>
      </c>
      <c r="C3" s="33" t="s">
        <v>30</v>
      </c>
      <c r="D3" s="37" t="s">
        <v>31</v>
      </c>
      <c r="E3" s="83" t="s">
        <v>32</v>
      </c>
      <c r="F3" s="39"/>
      <c r="G3" s="39"/>
      <c r="H3" s="39"/>
      <c r="I3" s="39"/>
      <c r="J3" s="39"/>
      <c r="K3" s="39"/>
    </row>
    <row r="4" spans="1:11" ht="26.25">
      <c r="A4" s="66" t="s">
        <v>6</v>
      </c>
      <c r="B4" s="32" t="s">
        <v>33</v>
      </c>
      <c r="C4" s="28"/>
      <c r="D4" s="40" t="s">
        <v>179</v>
      </c>
      <c r="E4" s="40" t="s">
        <v>179</v>
      </c>
      <c r="F4" s="60"/>
      <c r="G4" s="60"/>
      <c r="H4" s="60"/>
      <c r="I4" s="60"/>
      <c r="J4" s="60"/>
      <c r="K4" s="60"/>
    </row>
    <row r="5" spans="1:11" ht="12.75">
      <c r="A5" s="69"/>
      <c r="B5" s="32" t="s">
        <v>35</v>
      </c>
      <c r="C5" s="22" t="s">
        <v>139</v>
      </c>
      <c r="F5" s="60"/>
      <c r="G5" s="60"/>
      <c r="H5" s="60"/>
      <c r="I5" s="60"/>
      <c r="J5" s="60"/>
      <c r="K5" s="60"/>
    </row>
    <row r="6" spans="1:11" s="17" customFormat="1" ht="12.75">
      <c r="A6" s="77" t="s">
        <v>7</v>
      </c>
      <c r="B6" s="41" t="s">
        <v>34</v>
      </c>
      <c r="C6" s="38" t="s">
        <v>139</v>
      </c>
      <c r="D6" s="218" t="s">
        <v>605</v>
      </c>
      <c r="E6" s="218" t="s">
        <v>658</v>
      </c>
      <c r="F6" s="64" t="s">
        <v>606</v>
      </c>
      <c r="G6" s="64" t="s">
        <v>622</v>
      </c>
      <c r="H6" s="30">
        <v>2026</v>
      </c>
      <c r="I6" s="30">
        <v>2027</v>
      </c>
      <c r="J6" s="30" t="s">
        <v>651</v>
      </c>
      <c r="K6" s="30" t="s">
        <v>657</v>
      </c>
    </row>
    <row r="7" spans="1:11" s="13" customFormat="1" ht="12.75">
      <c r="A7" s="65" t="s">
        <v>177</v>
      </c>
      <c r="B7" s="73"/>
      <c r="C7" s="78"/>
      <c r="D7" s="13" t="s">
        <v>3</v>
      </c>
      <c r="E7" s="13" t="s">
        <v>3</v>
      </c>
      <c r="F7" s="79"/>
      <c r="G7" s="79"/>
      <c r="H7" s="79"/>
      <c r="I7" s="79"/>
      <c r="J7" s="79"/>
      <c r="K7" s="79"/>
    </row>
    <row r="8" spans="1:11" ht="12.75">
      <c r="A8" s="66" t="s">
        <v>8</v>
      </c>
      <c r="B8" s="72"/>
      <c r="C8" s="28"/>
      <c r="D8" s="61" t="s">
        <v>164</v>
      </c>
      <c r="E8" s="61" t="s">
        <v>164</v>
      </c>
      <c r="F8" s="254"/>
      <c r="G8" s="254">
        <v>5206</v>
      </c>
      <c r="H8" s="254">
        <v>5596</v>
      </c>
      <c r="I8" s="255">
        <v>5005</v>
      </c>
      <c r="J8" s="254">
        <v>4555</v>
      </c>
      <c r="K8" s="254">
        <v>5403</v>
      </c>
    </row>
    <row r="9" spans="1:11" ht="12.75">
      <c r="A9" s="66" t="s">
        <v>8</v>
      </c>
      <c r="B9" s="72"/>
      <c r="C9" s="28"/>
      <c r="D9" s="61" t="s">
        <v>165</v>
      </c>
      <c r="E9" s="61" t="s">
        <v>165</v>
      </c>
      <c r="F9" s="254"/>
      <c r="G9" s="254">
        <v>146</v>
      </c>
      <c r="H9" s="254">
        <v>58</v>
      </c>
      <c r="I9" s="254"/>
      <c r="J9" s="254"/>
      <c r="K9" s="254">
        <v>2831</v>
      </c>
    </row>
    <row r="10" spans="1:11" ht="12.75">
      <c r="A10" s="66" t="s">
        <v>8</v>
      </c>
      <c r="B10" s="66"/>
      <c r="D10" s="61" t="s">
        <v>166</v>
      </c>
      <c r="E10" s="61" t="s">
        <v>166</v>
      </c>
      <c r="F10" s="255">
        <v>4476</v>
      </c>
      <c r="G10" s="255" t="s">
        <v>2</v>
      </c>
      <c r="H10" s="255" t="s">
        <v>2</v>
      </c>
      <c r="I10" s="255" t="s">
        <v>2</v>
      </c>
      <c r="J10" s="255" t="s">
        <v>2</v>
      </c>
      <c r="K10" s="255" t="s">
        <v>2</v>
      </c>
    </row>
    <row r="11" spans="1:11" ht="12.75">
      <c r="A11" s="66" t="s">
        <v>1</v>
      </c>
      <c r="B11" s="66"/>
      <c r="D11" s="40" t="s">
        <v>1</v>
      </c>
      <c r="E11" s="40" t="s">
        <v>1</v>
      </c>
      <c r="F11" s="62">
        <f>SUM(F8:F10)</f>
        <v>4476</v>
      </c>
      <c r="G11" s="62">
        <f>SUM(G8:G10)</f>
        <v>5352</v>
      </c>
      <c r="H11" s="62">
        <f>SUM(H8:H10)</f>
        <v>5654</v>
      </c>
      <c r="I11" s="62">
        <f>SUM(I8:I10)</f>
        <v>5005</v>
      </c>
      <c r="J11" s="62">
        <f>SUM(J8:J10)</f>
        <v>4555</v>
      </c>
      <c r="K11" s="62">
        <f>SUM(K8:K10)-1</f>
        <v>8233</v>
      </c>
    </row>
    <row r="12" spans="1:12" ht="12.75">
      <c r="A12" s="66" t="s">
        <v>10</v>
      </c>
      <c r="B12" s="16"/>
      <c r="C12" s="16"/>
      <c r="D12" s="16"/>
      <c r="E12" s="16"/>
      <c r="L12"/>
    </row>
    <row r="13" spans="1:5" ht="158.25">
      <c r="A13" s="66" t="s">
        <v>615</v>
      </c>
      <c r="B13" s="16"/>
      <c r="C13" s="16"/>
      <c r="D13" s="16"/>
      <c r="E13" s="31" t="s">
        <v>648</v>
      </c>
    </row>
    <row r="17" ht="12.75">
      <c r="E17" s="27" t="s">
        <v>646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13" r:id="rId1"/>
  <headerFooter alignWithMargins="0">
    <oddHeader>&amp;L&amp;D/&amp;F</oddHeader>
    <oddFooter>&amp;L&amp;"Calibri"&amp;11&amp;K000000&amp;"Calibri"&amp;11&amp;K000000
&amp;1#&amp;"Calibri"&amp;8&amp;K000000 Classified as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G22"/>
  <sheetViews>
    <sheetView zoomScaleSheetLayoutView="80" zoomScalePageLayoutView="0" workbookViewId="0" topLeftCell="A1">
      <selection activeCell="U32" sqref="U32"/>
    </sheetView>
  </sheetViews>
  <sheetFormatPr defaultColWidth="9.28125" defaultRowHeight="12.75"/>
  <cols>
    <col min="1" max="1" width="11.28125" style="66" bestFit="1" customWidth="1"/>
    <col min="2" max="2" width="12.28125" style="16" bestFit="1" customWidth="1"/>
    <col min="3" max="3" width="11.28125" style="16" bestFit="1" customWidth="1"/>
    <col min="4" max="4" width="24.57421875" style="16" hidden="1" customWidth="1"/>
    <col min="5" max="5" width="44.140625" style="16" customWidth="1"/>
    <col min="6" max="14" width="8.00390625" style="16" hidden="1" customWidth="1"/>
    <col min="15" max="21" width="8.00390625" style="16" bestFit="1" customWidth="1"/>
    <col min="22" max="16384" width="9.28125" style="16" customWidth="1"/>
  </cols>
  <sheetData>
    <row r="1" spans="1:5" ht="17.25">
      <c r="A1" s="68">
        <v>44377</v>
      </c>
      <c r="B1" s="32" t="s">
        <v>26</v>
      </c>
      <c r="C1" s="33"/>
      <c r="D1" s="34" t="str">
        <f>Company</f>
        <v>AB Electrolux</v>
      </c>
      <c r="E1" s="34" t="str">
        <f>Company</f>
        <v>AB Electrolux</v>
      </c>
    </row>
    <row r="2" spans="1:5" ht="12.75">
      <c r="A2" s="69"/>
      <c r="B2" s="32" t="s">
        <v>28</v>
      </c>
      <c r="C2" s="33"/>
      <c r="D2" s="35">
        <f>A1</f>
        <v>44377</v>
      </c>
      <c r="E2" s="36">
        <f>+A1</f>
        <v>44377</v>
      </c>
    </row>
    <row r="3" spans="1:5" ht="12.75">
      <c r="A3" s="69"/>
      <c r="B3" s="32" t="s">
        <v>29</v>
      </c>
      <c r="C3" s="33" t="s">
        <v>30</v>
      </c>
      <c r="D3" s="37" t="s">
        <v>31</v>
      </c>
      <c r="E3" s="37" t="s">
        <v>32</v>
      </c>
    </row>
    <row r="4" spans="1:21" ht="12.75">
      <c r="A4" s="66" t="s">
        <v>6</v>
      </c>
      <c r="B4" s="32" t="s">
        <v>33</v>
      </c>
      <c r="D4" s="15" t="s">
        <v>115</v>
      </c>
      <c r="E4" s="15" t="s">
        <v>115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2:3" ht="12.75">
      <c r="B5" s="32" t="s">
        <v>35</v>
      </c>
      <c r="C5" s="33" t="s">
        <v>139</v>
      </c>
    </row>
    <row r="6" spans="1:33" s="44" customFormat="1" ht="12.75">
      <c r="A6" s="71" t="s">
        <v>7</v>
      </c>
      <c r="B6" s="41" t="s">
        <v>34</v>
      </c>
      <c r="C6" s="38" t="s">
        <v>139</v>
      </c>
      <c r="D6" s="50" t="s">
        <v>4</v>
      </c>
      <c r="E6" s="50" t="s">
        <v>4</v>
      </c>
      <c r="F6" s="30" t="s">
        <v>185</v>
      </c>
      <c r="G6" s="30" t="s">
        <v>186</v>
      </c>
      <c r="H6" s="30" t="s">
        <v>187</v>
      </c>
      <c r="I6" s="30" t="s">
        <v>188</v>
      </c>
      <c r="J6" s="30" t="s">
        <v>189</v>
      </c>
      <c r="K6" s="30" t="s">
        <v>190</v>
      </c>
      <c r="L6" s="30" t="s">
        <v>191</v>
      </c>
      <c r="M6" s="30" t="s">
        <v>192</v>
      </c>
      <c r="N6" s="30" t="s">
        <v>230</v>
      </c>
      <c r="O6" s="242" t="s">
        <v>574</v>
      </c>
      <c r="P6" s="242" t="s">
        <v>575</v>
      </c>
      <c r="Q6" s="242" t="s">
        <v>601</v>
      </c>
      <c r="R6" s="242" t="s">
        <v>617</v>
      </c>
      <c r="S6" s="242" t="s">
        <v>618</v>
      </c>
      <c r="T6" s="242" t="s">
        <v>620</v>
      </c>
      <c r="U6" s="242" t="s">
        <v>621</v>
      </c>
      <c r="V6" s="242" t="s">
        <v>625</v>
      </c>
      <c r="W6" s="242" t="s">
        <v>634</v>
      </c>
      <c r="X6" s="242" t="s">
        <v>635</v>
      </c>
      <c r="Y6" s="242" t="s">
        <v>636</v>
      </c>
      <c r="Z6" s="242" t="s">
        <v>638</v>
      </c>
      <c r="AA6" s="242" t="s">
        <v>639</v>
      </c>
      <c r="AB6" s="242" t="s">
        <v>644</v>
      </c>
      <c r="AC6" s="242" t="s">
        <v>645</v>
      </c>
      <c r="AD6" s="242" t="s">
        <v>653</v>
      </c>
      <c r="AE6" s="44" t="s">
        <v>654</v>
      </c>
      <c r="AF6" s="44" t="s">
        <v>655</v>
      </c>
      <c r="AG6" s="44" t="s">
        <v>656</v>
      </c>
    </row>
    <row r="7" spans="1:33" s="13" customFormat="1" ht="12.75">
      <c r="A7" s="65" t="s">
        <v>177</v>
      </c>
      <c r="B7" s="80"/>
      <c r="C7" s="81"/>
      <c r="D7" s="82" t="s">
        <v>163</v>
      </c>
      <c r="E7" s="82" t="s">
        <v>163</v>
      </c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</row>
    <row r="8" spans="1:33" ht="12.75">
      <c r="A8" s="66" t="s">
        <v>8</v>
      </c>
      <c r="B8" s="84" t="s">
        <v>11</v>
      </c>
      <c r="C8" s="66"/>
      <c r="D8" s="18" t="s">
        <v>116</v>
      </c>
      <c r="E8" s="18" t="s">
        <v>116</v>
      </c>
      <c r="F8" s="7">
        <v>28201</v>
      </c>
      <c r="G8" s="7">
        <v>30948</v>
      </c>
      <c r="H8" s="7">
        <v>29042</v>
      </c>
      <c r="I8" s="7">
        <v>32580</v>
      </c>
      <c r="J8" s="7">
        <v>25988</v>
      </c>
      <c r="K8" s="7">
        <v>29145</v>
      </c>
      <c r="L8" s="7">
        <v>28309</v>
      </c>
      <c r="M8" s="7">
        <v>32021</v>
      </c>
      <c r="N8" s="7">
        <v>27408</v>
      </c>
      <c r="O8" s="244">
        <v>29232</v>
      </c>
      <c r="P8" s="244">
        <v>30330</v>
      </c>
      <c r="Q8" s="244">
        <v>32011</v>
      </c>
      <c r="R8" s="244">
        <v>26578</v>
      </c>
      <c r="S8" s="244">
        <v>23476</v>
      </c>
      <c r="T8" s="244">
        <v>32004</v>
      </c>
      <c r="U8" s="244">
        <v>33902</v>
      </c>
      <c r="V8" s="244">
        <v>29025.912211599996</v>
      </c>
      <c r="W8" s="245">
        <v>30303.070846200022</v>
      </c>
      <c r="X8" s="245">
        <v>30929.412241099977</v>
      </c>
      <c r="Y8" s="245">
        <v>35372.30014980001</v>
      </c>
      <c r="Z8" s="245">
        <v>30118.308181700006</v>
      </c>
      <c r="AA8" s="245">
        <v>33748.57096019999</v>
      </c>
      <c r="AB8" s="245">
        <v>35243.9701962</v>
      </c>
      <c r="AC8" s="245">
        <v>35768.993497799995</v>
      </c>
      <c r="AD8" s="245">
        <v>32734.4845833</v>
      </c>
      <c r="AE8" s="245">
        <v>32653.3319665</v>
      </c>
      <c r="AF8" s="245">
        <v>33426.994719099996</v>
      </c>
      <c r="AG8" s="245">
        <v>35636.16419270002</v>
      </c>
    </row>
    <row r="9" spans="1:33" ht="12.75">
      <c r="A9" s="66" t="s">
        <v>8</v>
      </c>
      <c r="B9" s="84" t="s">
        <v>11</v>
      </c>
      <c r="C9" s="66" t="s">
        <v>168</v>
      </c>
      <c r="D9" s="18" t="s">
        <v>193</v>
      </c>
      <c r="E9" s="18" t="s">
        <v>193</v>
      </c>
      <c r="F9" s="10">
        <v>-3.2</v>
      </c>
      <c r="G9" s="10">
        <v>1.2</v>
      </c>
      <c r="H9" s="10">
        <v>-1.7</v>
      </c>
      <c r="I9" s="10">
        <v>5.4</v>
      </c>
      <c r="J9" s="10">
        <v>3</v>
      </c>
      <c r="K9" s="10">
        <v>0.3</v>
      </c>
      <c r="L9" s="10">
        <v>0.3</v>
      </c>
      <c r="M9" s="10">
        <v>1.9</v>
      </c>
      <c r="N9" s="10">
        <v>0.6</v>
      </c>
      <c r="O9" s="246">
        <v>-3.6</v>
      </c>
      <c r="P9" s="246">
        <v>1.2</v>
      </c>
      <c r="Q9" s="246">
        <v>-2.8</v>
      </c>
      <c r="R9" s="246">
        <v>-5.1</v>
      </c>
      <c r="S9" s="246">
        <v>-16.6</v>
      </c>
      <c r="T9" s="246">
        <v>15.3</v>
      </c>
      <c r="U9" s="246">
        <v>17.6807221</v>
      </c>
      <c r="V9" s="246">
        <v>23.01391</v>
      </c>
      <c r="W9" s="247">
        <v>39.327184</v>
      </c>
      <c r="X9" s="247">
        <v>-0.020921261</v>
      </c>
      <c r="Y9" s="247">
        <v>4.8865396</v>
      </c>
      <c r="Z9" s="247">
        <v>-3.298413</v>
      </c>
      <c r="AA9" s="247">
        <v>0.371473172448078</v>
      </c>
      <c r="AB9" s="247">
        <v>0.427</v>
      </c>
      <c r="AC9" s="247">
        <v>-10.440233768882967</v>
      </c>
      <c r="AD9" s="247">
        <v>1.1</v>
      </c>
      <c r="AE9" s="247">
        <v>-8.79</v>
      </c>
      <c r="AF9" s="247">
        <v>-7.92</v>
      </c>
      <c r="AG9" s="247">
        <v>-0.8477</v>
      </c>
    </row>
    <row r="10" spans="1:33" ht="12.75">
      <c r="A10" s="66" t="s">
        <v>8</v>
      </c>
      <c r="B10" s="84" t="s">
        <v>11</v>
      </c>
      <c r="C10" s="66" t="s">
        <v>168</v>
      </c>
      <c r="D10" s="18" t="s">
        <v>182</v>
      </c>
      <c r="E10" s="18" t="s">
        <v>182</v>
      </c>
      <c r="F10" s="21">
        <v>-2.8</v>
      </c>
      <c r="G10" s="21">
        <v>0</v>
      </c>
      <c r="H10" s="21">
        <v>-3.2</v>
      </c>
      <c r="I10" s="21">
        <v>4</v>
      </c>
      <c r="J10" s="21">
        <v>1.9</v>
      </c>
      <c r="K10" s="21">
        <v>-0.1</v>
      </c>
      <c r="L10" s="21">
        <v>0.8</v>
      </c>
      <c r="M10" s="21">
        <v>2.6</v>
      </c>
      <c r="N10" s="21">
        <v>1.2</v>
      </c>
      <c r="O10" s="247">
        <v>-3.1</v>
      </c>
      <c r="P10" s="247">
        <v>1.4</v>
      </c>
      <c r="Q10" s="247">
        <v>-2.8</v>
      </c>
      <c r="R10" s="247">
        <v>-5.1</v>
      </c>
      <c r="S10" s="247">
        <v>-16.6</v>
      </c>
      <c r="T10" s="247">
        <v>15.2</v>
      </c>
      <c r="U10" s="247">
        <v>17.45115177</v>
      </c>
      <c r="V10" s="247">
        <v>22.8472</v>
      </c>
      <c r="W10" s="247">
        <v>39.105378</v>
      </c>
      <c r="X10" s="247">
        <v>-0.25290551</v>
      </c>
      <c r="Y10" s="247">
        <v>4.8130869</v>
      </c>
      <c r="Z10" s="247">
        <v>-3.397613</v>
      </c>
      <c r="AA10" s="247">
        <v>0.2710980882376868</v>
      </c>
      <c r="AB10" s="247">
        <v>1.204</v>
      </c>
      <c r="AC10" s="247">
        <v>-8.393369828617548</v>
      </c>
      <c r="AD10" s="247">
        <v>2.2</v>
      </c>
      <c r="AE10" s="247">
        <v>-8.35551586687605</v>
      </c>
      <c r="AF10" s="247">
        <v>-7.92</v>
      </c>
      <c r="AG10" s="247">
        <v>-0.8477</v>
      </c>
    </row>
    <row r="11" spans="1:33" ht="12.75">
      <c r="A11" s="66" t="s">
        <v>8</v>
      </c>
      <c r="B11" s="66"/>
      <c r="C11" s="66"/>
      <c r="D11" s="18" t="s">
        <v>117</v>
      </c>
      <c r="E11" s="18" t="s">
        <v>117</v>
      </c>
      <c r="F11" s="7">
        <v>996</v>
      </c>
      <c r="G11" s="7">
        <v>994</v>
      </c>
      <c r="H11" s="7">
        <v>974</v>
      </c>
      <c r="I11" s="7">
        <v>1013</v>
      </c>
      <c r="J11" s="7">
        <v>968</v>
      </c>
      <c r="K11" s="7">
        <v>1013</v>
      </c>
      <c r="L11" s="7">
        <v>966</v>
      </c>
      <c r="M11" s="7">
        <v>1033</v>
      </c>
      <c r="N11" s="7">
        <v>1165</v>
      </c>
      <c r="O11" s="244">
        <v>1172</v>
      </c>
      <c r="P11" s="244">
        <v>1270</v>
      </c>
      <c r="Q11" s="244">
        <v>1214</v>
      </c>
      <c r="R11" s="244">
        <v>1208</v>
      </c>
      <c r="S11" s="244">
        <v>1168</v>
      </c>
      <c r="T11" s="244">
        <v>1095</v>
      </c>
      <c r="U11" s="244">
        <v>1117</v>
      </c>
      <c r="V11" s="244">
        <v>1091.9763809</v>
      </c>
      <c r="W11" s="245">
        <v>1084.7054544999999</v>
      </c>
      <c r="X11" s="245">
        <v>1195.0412188</v>
      </c>
      <c r="Y11" s="245">
        <v>1117.3927902999997</v>
      </c>
      <c r="Z11" s="245">
        <v>1232.0210328</v>
      </c>
      <c r="AA11" s="245">
        <v>1328.3995040999998</v>
      </c>
      <c r="AB11" s="245">
        <v>1408.9375909</v>
      </c>
      <c r="AC11" s="245">
        <v>1420.7425858999995</v>
      </c>
      <c r="AD11" s="245">
        <v>1501.0836315999998</v>
      </c>
      <c r="AE11" s="245">
        <v>1580.2985003000001</v>
      </c>
      <c r="AF11" s="245">
        <v>1595.8286459000005</v>
      </c>
      <c r="AG11" s="245">
        <v>1599.9909809</v>
      </c>
    </row>
    <row r="12" spans="1:33" ht="12.75">
      <c r="A12" s="66" t="s">
        <v>8</v>
      </c>
      <c r="B12" s="66"/>
      <c r="C12" s="66"/>
      <c r="D12" s="18" t="s">
        <v>195</v>
      </c>
      <c r="E12" s="18" t="s">
        <v>195</v>
      </c>
      <c r="F12" s="7">
        <v>1442</v>
      </c>
      <c r="G12" s="7">
        <v>1919</v>
      </c>
      <c r="H12" s="7">
        <v>1981</v>
      </c>
      <c r="I12" s="7">
        <v>2065</v>
      </c>
      <c r="J12" s="7">
        <v>1123</v>
      </c>
      <c r="K12" s="7">
        <v>1321</v>
      </c>
      <c r="L12" s="7">
        <v>1476</v>
      </c>
      <c r="M12" s="7">
        <v>1599</v>
      </c>
      <c r="N12" s="7">
        <v>1001</v>
      </c>
      <c r="O12" s="244">
        <v>1219</v>
      </c>
      <c r="P12" s="244">
        <v>1353</v>
      </c>
      <c r="Q12" s="244">
        <v>960</v>
      </c>
      <c r="R12" s="244">
        <v>122</v>
      </c>
      <c r="S12" s="244">
        <v>-62</v>
      </c>
      <c r="T12" s="244">
        <v>3220</v>
      </c>
      <c r="U12" s="244">
        <v>2498</v>
      </c>
      <c r="V12" s="244">
        <v>2297.192474299989</v>
      </c>
      <c r="W12" s="245">
        <v>1983.3892542000353</v>
      </c>
      <c r="X12" s="245">
        <v>1638.6712228999816</v>
      </c>
      <c r="Y12" s="245">
        <v>1608.533837100005</v>
      </c>
      <c r="Z12" s="245">
        <v>918.6835309</v>
      </c>
      <c r="AA12" s="245">
        <v>559.7325859999961</v>
      </c>
      <c r="AB12" s="245">
        <v>-34.970256400009816</v>
      </c>
      <c r="AC12" s="245">
        <v>-612.3828567000166</v>
      </c>
      <c r="AD12" s="245">
        <v>304.5346784999974</v>
      </c>
      <c r="AE12" s="245">
        <v>519.1145401000102</v>
      </c>
      <c r="AF12" s="245">
        <v>313.5617802000013</v>
      </c>
      <c r="AG12" s="245">
        <v>-723.5464444999743</v>
      </c>
    </row>
    <row r="13" spans="1:33" ht="12.75">
      <c r="A13" s="66" t="s">
        <v>8</v>
      </c>
      <c r="B13" s="214" t="s">
        <v>237</v>
      </c>
      <c r="C13" s="66" t="s">
        <v>168</v>
      </c>
      <c r="D13" s="18" t="s">
        <v>196</v>
      </c>
      <c r="E13" s="18" t="s">
        <v>196</v>
      </c>
      <c r="F13" s="10">
        <v>5.1</v>
      </c>
      <c r="G13" s="10">
        <v>6.2</v>
      </c>
      <c r="H13" s="10">
        <v>6.8</v>
      </c>
      <c r="I13" s="10">
        <v>6.3</v>
      </c>
      <c r="J13" s="10">
        <v>4.3</v>
      </c>
      <c r="K13" s="10">
        <v>4.5</v>
      </c>
      <c r="L13" s="10">
        <v>5.2</v>
      </c>
      <c r="M13" s="10">
        <v>5</v>
      </c>
      <c r="N13" s="10">
        <v>3.7</v>
      </c>
      <c r="O13" s="246">
        <v>4.2</v>
      </c>
      <c r="P13" s="246">
        <v>4.5</v>
      </c>
      <c r="Q13" s="246">
        <v>3</v>
      </c>
      <c r="R13" s="246">
        <v>0.5</v>
      </c>
      <c r="S13" s="246">
        <v>-0.3</v>
      </c>
      <c r="T13" s="246">
        <v>10.061242344706912</v>
      </c>
      <c r="U13" s="246">
        <v>7.368296855642735</v>
      </c>
      <c r="V13" s="246">
        <v>7.914281754707204</v>
      </c>
      <c r="W13" s="247">
        <v>6.545175781908422</v>
      </c>
      <c r="X13" s="247">
        <v>5.298100106546686</v>
      </c>
      <c r="Y13" s="247">
        <v>4.5474391834512895</v>
      </c>
      <c r="Z13" s="247">
        <v>3.050249454111754</v>
      </c>
      <c r="AA13" s="247">
        <v>1.6585371471286712</v>
      </c>
      <c r="AB13" s="247">
        <v>-0.0992233741128867</v>
      </c>
      <c r="AC13" s="247">
        <v>-1.7120494507000366</v>
      </c>
      <c r="AD13" s="247">
        <v>0.9303176218493463</v>
      </c>
      <c r="AE13" s="247">
        <v>1.5897750974772953</v>
      </c>
      <c r="AF13" s="247">
        <v>0.9380495699209055</v>
      </c>
      <c r="AG13" s="247">
        <v>-2.030371284034523</v>
      </c>
    </row>
    <row r="14" spans="1:33" ht="15">
      <c r="A14" s="66" t="s">
        <v>8</v>
      </c>
      <c r="B14" s="66"/>
      <c r="C14" s="66"/>
      <c r="D14" s="18" t="s">
        <v>194</v>
      </c>
      <c r="E14" s="18" t="s">
        <v>194</v>
      </c>
      <c r="F14" s="63">
        <v>0</v>
      </c>
      <c r="G14" s="63">
        <v>0</v>
      </c>
      <c r="H14" s="63">
        <v>0</v>
      </c>
      <c r="I14" s="63">
        <v>0</v>
      </c>
      <c r="J14" s="63">
        <v>-596</v>
      </c>
      <c r="K14" s="63">
        <v>-818</v>
      </c>
      <c r="L14" s="63">
        <v>0</v>
      </c>
      <c r="M14" s="63">
        <v>71</v>
      </c>
      <c r="N14" s="63">
        <v>0</v>
      </c>
      <c r="O14" s="248">
        <v>0</v>
      </c>
      <c r="P14" s="248">
        <v>-290</v>
      </c>
      <c r="Q14" s="248">
        <v>0</v>
      </c>
      <c r="R14" s="248">
        <v>0</v>
      </c>
      <c r="S14" s="248">
        <v>0</v>
      </c>
      <c r="T14" s="248">
        <v>0</v>
      </c>
      <c r="U14" s="248">
        <v>0</v>
      </c>
      <c r="V14" s="248">
        <v>0</v>
      </c>
      <c r="W14" s="248">
        <v>0</v>
      </c>
      <c r="X14" s="248">
        <v>0</v>
      </c>
      <c r="Y14" s="248">
        <v>-727</v>
      </c>
      <c r="Z14" s="248">
        <v>656.0385607000001</v>
      </c>
      <c r="AA14" s="248">
        <v>0</v>
      </c>
      <c r="AB14" s="248">
        <v>-350</v>
      </c>
      <c r="AC14" s="248">
        <v>-1352</v>
      </c>
      <c r="AD14" s="248">
        <v>-561</v>
      </c>
      <c r="AE14" s="245">
        <v>-643</v>
      </c>
      <c r="AF14" s="245">
        <v>294</v>
      </c>
      <c r="AG14" s="245">
        <v>-2491</v>
      </c>
    </row>
    <row r="15" spans="1:33" ht="12.75">
      <c r="A15" s="66" t="s">
        <v>8</v>
      </c>
      <c r="D15" s="18" t="s">
        <v>118</v>
      </c>
      <c r="E15" s="18" t="s">
        <v>633</v>
      </c>
      <c r="F15" s="7">
        <v>1442</v>
      </c>
      <c r="G15" s="7">
        <v>1919</v>
      </c>
      <c r="H15" s="7">
        <v>1981</v>
      </c>
      <c r="I15" s="7">
        <v>2065</v>
      </c>
      <c r="J15" s="7">
        <v>527</v>
      </c>
      <c r="K15" s="7">
        <v>503</v>
      </c>
      <c r="L15" s="7">
        <v>1476</v>
      </c>
      <c r="M15" s="7">
        <v>1670</v>
      </c>
      <c r="N15" s="7">
        <v>-53</v>
      </c>
      <c r="O15" s="244">
        <v>1219</v>
      </c>
      <c r="P15" s="244">
        <v>1063</v>
      </c>
      <c r="Q15" s="244">
        <v>960</v>
      </c>
      <c r="R15" s="244">
        <v>122</v>
      </c>
      <c r="S15" s="244">
        <v>-62</v>
      </c>
      <c r="T15" s="244">
        <v>3220</v>
      </c>
      <c r="U15" s="244">
        <v>2498</v>
      </c>
      <c r="V15" s="244">
        <v>2297.192474299989</v>
      </c>
      <c r="W15" s="245">
        <v>1983.3892542000353</v>
      </c>
      <c r="X15" s="245">
        <v>1638.6712228999816</v>
      </c>
      <c r="Y15" s="245">
        <v>881.5624121000017</v>
      </c>
      <c r="Z15" s="245">
        <v>1574.7220916</v>
      </c>
      <c r="AA15" s="245">
        <v>559.7325859999961</v>
      </c>
      <c r="AB15" s="245">
        <v>-384.9702564000098</v>
      </c>
      <c r="AC15" s="245">
        <v>-1964.3828567000166</v>
      </c>
      <c r="AD15" s="245">
        <v>-256.4653215000026</v>
      </c>
      <c r="AE15" s="245">
        <v>-123.88545989998981</v>
      </c>
      <c r="AF15" s="245">
        <v>607.5617802000013</v>
      </c>
      <c r="AG15" s="245">
        <v>-3214.7704444999877</v>
      </c>
    </row>
    <row r="16" spans="1:33" ht="12.75">
      <c r="A16" s="66" t="s">
        <v>8</v>
      </c>
      <c r="B16" s="84" t="s">
        <v>11</v>
      </c>
      <c r="C16" s="66" t="s">
        <v>168</v>
      </c>
      <c r="D16" s="18" t="s">
        <v>183</v>
      </c>
      <c r="E16" s="18" t="s">
        <v>183</v>
      </c>
      <c r="F16" s="21">
        <v>5.1</v>
      </c>
      <c r="G16" s="21">
        <v>6.2</v>
      </c>
      <c r="H16" s="21">
        <v>6.8</v>
      </c>
      <c r="I16" s="21">
        <v>6.3</v>
      </c>
      <c r="J16" s="21">
        <v>2</v>
      </c>
      <c r="K16" s="21">
        <v>1.7</v>
      </c>
      <c r="L16" s="21">
        <v>5.2</v>
      </c>
      <c r="M16" s="21">
        <v>5.2</v>
      </c>
      <c r="N16" s="21">
        <v>-0.2</v>
      </c>
      <c r="O16" s="247">
        <v>4.2</v>
      </c>
      <c r="P16" s="247">
        <v>3.5</v>
      </c>
      <c r="Q16" s="247">
        <v>3</v>
      </c>
      <c r="R16" s="247">
        <v>0.5</v>
      </c>
      <c r="S16" s="247">
        <v>-0.3</v>
      </c>
      <c r="T16" s="247">
        <v>10.061242344706912</v>
      </c>
      <c r="U16" s="247">
        <v>7.368296855642735</v>
      </c>
      <c r="V16" s="247">
        <v>7.914281754707214</v>
      </c>
      <c r="W16" s="247">
        <v>6.545175781908356</v>
      </c>
      <c r="X16" s="247">
        <v>5.298100106546724</v>
      </c>
      <c r="Y16" s="247">
        <v>2.4922394313251526</v>
      </c>
      <c r="Z16" s="247">
        <v>5.228454673150632</v>
      </c>
      <c r="AA16" s="247">
        <v>1.658537147128681</v>
      </c>
      <c r="AB16" s="247">
        <v>-1.0923010496743326</v>
      </c>
      <c r="AC16" s="247">
        <v>-5.491859469908803</v>
      </c>
      <c r="AD16" s="247">
        <v>-0.7834713903845433</v>
      </c>
      <c r="AE16" s="247">
        <v>-0.379396075191055</v>
      </c>
      <c r="AF16" s="247">
        <v>1.8175782337167323</v>
      </c>
      <c r="AG16" s="247">
        <v>-9.021090000361212</v>
      </c>
    </row>
    <row r="17" spans="1:33" ht="12.75">
      <c r="A17" s="66" t="s">
        <v>8</v>
      </c>
      <c r="B17" s="66"/>
      <c r="C17" s="66"/>
      <c r="D17" s="18" t="s">
        <v>119</v>
      </c>
      <c r="E17" s="18" t="s">
        <v>119</v>
      </c>
      <c r="F17" s="7">
        <v>1340</v>
      </c>
      <c r="G17" s="7">
        <v>1730</v>
      </c>
      <c r="H17" s="7">
        <v>1895</v>
      </c>
      <c r="I17" s="7">
        <v>2001</v>
      </c>
      <c r="J17" s="7">
        <v>435</v>
      </c>
      <c r="K17" s="7">
        <v>426</v>
      </c>
      <c r="L17" s="7">
        <v>1356</v>
      </c>
      <c r="M17" s="7">
        <v>1537</v>
      </c>
      <c r="N17" s="7">
        <v>-209</v>
      </c>
      <c r="O17" s="244">
        <v>1041</v>
      </c>
      <c r="P17" s="244">
        <v>888</v>
      </c>
      <c r="Q17" s="244">
        <v>736</v>
      </c>
      <c r="R17" s="244">
        <v>-48</v>
      </c>
      <c r="S17" s="244">
        <v>-251</v>
      </c>
      <c r="T17" s="244">
        <v>3056</v>
      </c>
      <c r="U17" s="244">
        <v>2339</v>
      </c>
      <c r="V17" s="244">
        <v>2176.812387799993</v>
      </c>
      <c r="W17" s="245">
        <v>1865.20733960003</v>
      </c>
      <c r="X17" s="245">
        <v>1512.700238999986</v>
      </c>
      <c r="Y17" s="245">
        <v>700.167402500007</v>
      </c>
      <c r="Z17" s="245">
        <v>1323.158458800015</v>
      </c>
      <c r="AA17" s="245">
        <v>265.45090019999185</v>
      </c>
      <c r="AB17" s="245">
        <v>-786.3690136000157</v>
      </c>
      <c r="AC17" s="245">
        <v>-2473.9375815000117</v>
      </c>
      <c r="AD17" s="245">
        <v>-769.8701982000027</v>
      </c>
      <c r="AE17" s="245">
        <v>-630.4249553999884</v>
      </c>
      <c r="AF17" s="245">
        <v>74.5282954000013</v>
      </c>
      <c r="AG17" s="245">
        <v>-3784.865923399993</v>
      </c>
    </row>
    <row r="18" spans="1:33" ht="12.75">
      <c r="A18" s="66" t="s">
        <v>8</v>
      </c>
      <c r="B18" s="66"/>
      <c r="C18" s="66"/>
      <c r="D18" s="18" t="s">
        <v>0</v>
      </c>
      <c r="E18" s="18" t="s">
        <v>619</v>
      </c>
      <c r="F18" s="7">
        <v>1012</v>
      </c>
      <c r="G18" s="7">
        <v>1291</v>
      </c>
      <c r="H18" s="7">
        <v>1440</v>
      </c>
      <c r="I18" s="7">
        <v>2002</v>
      </c>
      <c r="J18" s="7">
        <v>551</v>
      </c>
      <c r="K18" s="7">
        <v>517</v>
      </c>
      <c r="L18" s="7">
        <v>1162</v>
      </c>
      <c r="M18" s="7">
        <v>1575</v>
      </c>
      <c r="N18" s="7">
        <v>79</v>
      </c>
      <c r="O18" s="244">
        <v>1132</v>
      </c>
      <c r="P18" s="244">
        <v>739</v>
      </c>
      <c r="Q18" s="244">
        <v>559</v>
      </c>
      <c r="R18" s="244">
        <v>2509</v>
      </c>
      <c r="S18" s="244">
        <v>-141</v>
      </c>
      <c r="T18" s="244">
        <v>2356</v>
      </c>
      <c r="U18" s="244">
        <v>1860</v>
      </c>
      <c r="V18" s="244">
        <v>1556.3278005999919</v>
      </c>
      <c r="W18" s="245">
        <v>1382.5446537000298</v>
      </c>
      <c r="X18" s="245">
        <v>1142.7738814999832</v>
      </c>
      <c r="Y18" s="245">
        <v>596.0172695000109</v>
      </c>
      <c r="Z18" s="245">
        <v>949.8890134000125</v>
      </c>
      <c r="AA18" s="245">
        <v>257.06223649999043</v>
      </c>
      <c r="AB18" s="245">
        <v>-605.296135900018</v>
      </c>
      <c r="AC18" s="245">
        <v>-1921.5233328000238</v>
      </c>
      <c r="AD18" s="245">
        <v>-588.4679855999982</v>
      </c>
      <c r="AE18" s="245">
        <v>-648.401336599988</v>
      </c>
      <c r="AF18" s="245">
        <v>123.12809609999931</v>
      </c>
      <c r="AG18" s="245">
        <v>-4112.9358490999875</v>
      </c>
    </row>
    <row r="19" spans="1:3" ht="12.75">
      <c r="A19" s="66" t="s">
        <v>10</v>
      </c>
      <c r="B19" s="66"/>
      <c r="C19" s="66"/>
    </row>
    <row r="20" spans="1:5" ht="12.75">
      <c r="A20" s="66" t="s">
        <v>16</v>
      </c>
      <c r="B20" s="66"/>
      <c r="C20" s="66"/>
      <c r="D20" s="18" t="s">
        <v>209</v>
      </c>
      <c r="E20" s="18" t="s">
        <v>209</v>
      </c>
    </row>
    <row r="21" ht="12.75">
      <c r="A21" s="66" t="s">
        <v>10</v>
      </c>
    </row>
    <row r="22" spans="1:11" ht="132">
      <c r="A22" s="66" t="s">
        <v>615</v>
      </c>
      <c r="E22" s="61" t="s">
        <v>616</v>
      </c>
      <c r="F22" s="55"/>
      <c r="G22" s="55"/>
      <c r="H22" s="55"/>
      <c r="I22" s="55"/>
      <c r="J22" s="55"/>
      <c r="K22" s="55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10" r:id="rId1"/>
  <headerFooter alignWithMargins="0">
    <oddHeader>&amp;L&amp;D/&amp;F</oddHeader>
    <oddFooter>&amp;L&amp;"Calibri"&amp;11&amp;K000000&amp;"Calibri"&amp;11&amp;K000000
&amp;1#&amp;"Calibri"&amp;8&amp;K000000 Classified as Internal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G20"/>
  <sheetViews>
    <sheetView zoomScaleSheetLayoutView="80" zoomScalePageLayoutView="0" workbookViewId="0" topLeftCell="A1">
      <selection activeCell="A1" sqref="A1"/>
    </sheetView>
  </sheetViews>
  <sheetFormatPr defaultColWidth="9.28125" defaultRowHeight="12.75"/>
  <cols>
    <col min="1" max="1" width="12.00390625" style="16" bestFit="1" customWidth="1"/>
    <col min="2" max="2" width="12.28125" style="16" customWidth="1"/>
    <col min="3" max="3" width="11.28125" style="16" customWidth="1"/>
    <col min="4" max="4" width="27.57421875" style="16" hidden="1" customWidth="1"/>
    <col min="5" max="5" width="25.7109375" style="16" bestFit="1" customWidth="1"/>
    <col min="6" max="24" width="0" style="16" hidden="1" customWidth="1"/>
    <col min="25" max="16384" width="9.28125" style="16" customWidth="1"/>
  </cols>
  <sheetData>
    <row r="1" spans="1:5" ht="17.25">
      <c r="A1" s="68">
        <v>44377</v>
      </c>
      <c r="B1" s="32" t="s">
        <v>26</v>
      </c>
      <c r="C1" s="33"/>
      <c r="D1" s="34" t="str">
        <f>Company</f>
        <v>AB Electrolux</v>
      </c>
      <c r="E1" s="34" t="str">
        <f>Company</f>
        <v>AB Electrolux</v>
      </c>
    </row>
    <row r="2" spans="1:5" ht="12.75">
      <c r="A2" s="69"/>
      <c r="B2" s="32" t="s">
        <v>28</v>
      </c>
      <c r="C2" s="33"/>
      <c r="D2" s="35">
        <f>A1</f>
        <v>44377</v>
      </c>
      <c r="E2" s="36">
        <f>A1</f>
        <v>44377</v>
      </c>
    </row>
    <row r="3" spans="1:5" ht="12.75">
      <c r="A3" s="69"/>
      <c r="B3" s="32" t="s">
        <v>29</v>
      </c>
      <c r="C3" s="33" t="s">
        <v>30</v>
      </c>
      <c r="D3" s="37" t="s">
        <v>31</v>
      </c>
      <c r="E3" s="37" t="s">
        <v>32</v>
      </c>
    </row>
    <row r="4" spans="1:5" ht="12.75">
      <c r="A4" s="66" t="s">
        <v>6</v>
      </c>
      <c r="B4" s="32" t="s">
        <v>33</v>
      </c>
      <c r="D4" s="24" t="s">
        <v>154</v>
      </c>
      <c r="E4" s="24" t="s">
        <v>154</v>
      </c>
    </row>
    <row r="5" spans="1:5" ht="12.75">
      <c r="A5" s="66"/>
      <c r="B5" s="32" t="s">
        <v>35</v>
      </c>
      <c r="C5" s="33"/>
      <c r="D5" s="14"/>
      <c r="E5" s="14"/>
    </row>
    <row r="6" spans="1:33" s="17" customFormat="1" ht="12.75">
      <c r="A6" s="67" t="s">
        <v>7</v>
      </c>
      <c r="B6" s="41" t="s">
        <v>34</v>
      </c>
      <c r="C6" s="38"/>
      <c r="D6" s="50" t="s">
        <v>4</v>
      </c>
      <c r="E6" s="50" t="s">
        <v>4</v>
      </c>
      <c r="F6" s="30" t="s">
        <v>185</v>
      </c>
      <c r="G6" s="30" t="s">
        <v>186</v>
      </c>
      <c r="H6" s="30" t="s">
        <v>187</v>
      </c>
      <c r="I6" s="30" t="s">
        <v>188</v>
      </c>
      <c r="J6" s="30" t="s">
        <v>189</v>
      </c>
      <c r="K6" s="30" t="s">
        <v>190</v>
      </c>
      <c r="L6" s="30" t="s">
        <v>191</v>
      </c>
      <c r="M6" s="30" t="s">
        <v>192</v>
      </c>
      <c r="N6" s="30" t="s">
        <v>230</v>
      </c>
      <c r="O6" s="30" t="s">
        <v>574</v>
      </c>
      <c r="P6" s="30" t="s">
        <v>575</v>
      </c>
      <c r="Q6" s="30" t="s">
        <v>601</v>
      </c>
      <c r="R6" s="30" t="s">
        <v>617</v>
      </c>
      <c r="S6" s="30" t="s">
        <v>618</v>
      </c>
      <c r="T6" s="30" t="s">
        <v>620</v>
      </c>
      <c r="U6" s="30" t="s">
        <v>621</v>
      </c>
      <c r="V6" s="30" t="s">
        <v>625</v>
      </c>
      <c r="W6" s="30" t="s">
        <v>634</v>
      </c>
      <c r="X6" s="30" t="s">
        <v>635</v>
      </c>
      <c r="Y6" s="44" t="s">
        <v>636</v>
      </c>
      <c r="Z6" s="44" t="s">
        <v>638</v>
      </c>
      <c r="AA6" s="44" t="s">
        <v>639</v>
      </c>
      <c r="AB6" s="44" t="s">
        <v>644</v>
      </c>
      <c r="AC6" s="44" t="s">
        <v>645</v>
      </c>
      <c r="AD6" s="44" t="s">
        <v>653</v>
      </c>
      <c r="AE6" s="44" t="s">
        <v>654</v>
      </c>
      <c r="AF6" s="44" t="s">
        <v>655</v>
      </c>
      <c r="AG6" s="44" t="s">
        <v>656</v>
      </c>
    </row>
    <row r="7" spans="1:5" s="13" customFormat="1" ht="12.75">
      <c r="A7" s="65" t="s">
        <v>177</v>
      </c>
      <c r="B7" s="65"/>
      <c r="C7" s="65" t="s">
        <v>168</v>
      </c>
      <c r="D7" s="13" t="s">
        <v>171</v>
      </c>
      <c r="E7" s="13" t="s">
        <v>171</v>
      </c>
    </row>
    <row r="8" spans="1:33" ht="12.75">
      <c r="A8" s="66" t="s">
        <v>8</v>
      </c>
      <c r="B8" s="66"/>
      <c r="C8" s="66" t="s">
        <v>168</v>
      </c>
      <c r="D8" s="31" t="s">
        <v>172</v>
      </c>
      <c r="E8" s="31" t="s">
        <v>172</v>
      </c>
      <c r="F8" s="4">
        <v>-2.8</v>
      </c>
      <c r="G8" s="4">
        <v>0</v>
      </c>
      <c r="H8" s="4">
        <v>-3.2</v>
      </c>
      <c r="I8" s="4">
        <v>4</v>
      </c>
      <c r="J8" s="4">
        <v>1.86372357290279</v>
      </c>
      <c r="K8" s="4">
        <v>-0.1</v>
      </c>
      <c r="L8" s="4">
        <v>0.8</v>
      </c>
      <c r="M8" s="4">
        <v>2.6</v>
      </c>
      <c r="N8" s="4">
        <v>1.2</v>
      </c>
      <c r="O8" s="4">
        <v>-3.1</v>
      </c>
      <c r="P8" s="4">
        <v>1.383</v>
      </c>
      <c r="Q8" s="4">
        <v>-2.8</v>
      </c>
      <c r="R8" s="4">
        <v>-5.1</v>
      </c>
      <c r="S8" s="4">
        <v>-16.6</v>
      </c>
      <c r="T8" s="4">
        <v>15.201010360719014</v>
      </c>
      <c r="U8" s="4">
        <v>17.45115177</v>
      </c>
      <c r="V8" s="4">
        <v>22.8472</v>
      </c>
      <c r="W8" s="4">
        <v>39.105378</v>
      </c>
      <c r="X8" s="4">
        <v>-0.25290551</v>
      </c>
      <c r="Y8" s="2">
        <v>4.8130869</v>
      </c>
      <c r="Z8" s="4">
        <v>-3.397613</v>
      </c>
      <c r="AA8" s="4">
        <v>0.2710980882376868</v>
      </c>
      <c r="AB8" s="4">
        <v>1.204</v>
      </c>
      <c r="AC8" s="4">
        <v>-8.393369828617548</v>
      </c>
      <c r="AD8" s="4">
        <v>2.2</v>
      </c>
      <c r="AE8" s="4">
        <v>-8.35551586687605</v>
      </c>
      <c r="AF8" s="4">
        <v>-7.92</v>
      </c>
      <c r="AG8" s="4">
        <v>-0.8477</v>
      </c>
    </row>
    <row r="9" spans="1:33" ht="12.75">
      <c r="A9" s="66" t="s">
        <v>8</v>
      </c>
      <c r="B9" s="66"/>
      <c r="C9" s="66" t="s">
        <v>168</v>
      </c>
      <c r="D9" s="31" t="s">
        <v>173</v>
      </c>
      <c r="E9" s="31" t="s">
        <v>173</v>
      </c>
      <c r="F9" s="4">
        <v>-0.4</v>
      </c>
      <c r="G9" s="4">
        <v>1.2</v>
      </c>
      <c r="H9" s="4">
        <v>1.4</v>
      </c>
      <c r="I9" s="4">
        <v>1.4</v>
      </c>
      <c r="J9" s="4">
        <v>1.1</v>
      </c>
      <c r="K9" s="4">
        <v>0.3</v>
      </c>
      <c r="L9" s="4">
        <v>-0.5</v>
      </c>
      <c r="M9" s="4">
        <v>-0.7</v>
      </c>
      <c r="N9" s="4">
        <v>-0.6</v>
      </c>
      <c r="O9" s="4">
        <v>-0.5</v>
      </c>
      <c r="P9" s="4">
        <v>-0.1359</v>
      </c>
      <c r="Q9" s="4">
        <v>0</v>
      </c>
      <c r="R9" s="4">
        <v>0</v>
      </c>
      <c r="S9" s="4">
        <v>0</v>
      </c>
      <c r="T9" s="4">
        <v>0.054065614979534424</v>
      </c>
      <c r="U9" s="4">
        <v>0.229570367</v>
      </c>
      <c r="V9" s="4">
        <v>0.16662</v>
      </c>
      <c r="W9" s="4">
        <v>0.221806</v>
      </c>
      <c r="X9" s="4">
        <v>0.231984</v>
      </c>
      <c r="Y9" s="2">
        <v>0.0734526</v>
      </c>
      <c r="Z9" s="4">
        <v>0.0991995</v>
      </c>
      <c r="AA9" s="4">
        <v>0.10037508421037786</v>
      </c>
      <c r="AB9" s="4">
        <v>-0.768</v>
      </c>
      <c r="AC9" s="4">
        <v>-2.1</v>
      </c>
      <c r="AD9" s="4">
        <v>-1.1</v>
      </c>
      <c r="AE9" s="4">
        <v>-0.4737569927389576</v>
      </c>
      <c r="AF9" s="4">
        <v>-0.00172633512261803</v>
      </c>
      <c r="AG9" s="4">
        <v>0</v>
      </c>
    </row>
    <row r="10" spans="1:33" ht="12.75">
      <c r="A10" s="66" t="s">
        <v>8</v>
      </c>
      <c r="B10" s="66"/>
      <c r="C10" s="66" t="s">
        <v>168</v>
      </c>
      <c r="D10" s="42" t="s">
        <v>174</v>
      </c>
      <c r="E10" s="42" t="s">
        <v>174</v>
      </c>
      <c r="F10" s="2">
        <v>5.9</v>
      </c>
      <c r="G10" s="2">
        <v>3.9</v>
      </c>
      <c r="H10" s="2">
        <v>-3.2</v>
      </c>
      <c r="I10" s="2">
        <v>-4.7</v>
      </c>
      <c r="J10" s="2">
        <v>-4.735528390778</v>
      </c>
      <c r="K10" s="2">
        <v>0.4</v>
      </c>
      <c r="L10" s="2">
        <v>4</v>
      </c>
      <c r="M10" s="2">
        <v>3.1</v>
      </c>
      <c r="N10" s="2">
        <v>4.9</v>
      </c>
      <c r="O10" s="2">
        <v>3.9</v>
      </c>
      <c r="P10" s="2">
        <v>5.89</v>
      </c>
      <c r="Q10" s="2">
        <v>2.8</v>
      </c>
      <c r="R10" s="2">
        <v>2.1</v>
      </c>
      <c r="S10" s="2">
        <v>-3.1</v>
      </c>
      <c r="T10" s="2">
        <v>-9.735472973512712</v>
      </c>
      <c r="U10" s="2">
        <v>-11.7726</v>
      </c>
      <c r="V10" s="4">
        <v>-13.8017</v>
      </c>
      <c r="W10" s="4">
        <v>-10.24702</v>
      </c>
      <c r="X10" s="4">
        <v>-3.33800918</v>
      </c>
      <c r="Y10" s="2">
        <v>-0.550296548</v>
      </c>
      <c r="Z10" s="4">
        <v>7.0619337</v>
      </c>
      <c r="AA10" s="4">
        <v>10.998661991368378</v>
      </c>
      <c r="AB10" s="4">
        <v>13.513</v>
      </c>
      <c r="AC10" s="4">
        <v>11.749255934359958</v>
      </c>
      <c r="AD10" s="4">
        <v>7.6</v>
      </c>
      <c r="AE10" s="4">
        <v>5.583982873880119</v>
      </c>
      <c r="AF10" s="4">
        <v>2.77</v>
      </c>
      <c r="AG10" s="4">
        <v>0.4763315834338977</v>
      </c>
    </row>
    <row r="11" spans="1:33" ht="12.75">
      <c r="A11" s="66" t="s">
        <v>9</v>
      </c>
      <c r="B11" s="66"/>
      <c r="C11" s="66" t="s">
        <v>168</v>
      </c>
      <c r="D11" s="40" t="s">
        <v>175</v>
      </c>
      <c r="E11" s="40" t="s">
        <v>175</v>
      </c>
      <c r="F11" s="5">
        <v>2.7</v>
      </c>
      <c r="G11" s="5">
        <v>5.1</v>
      </c>
      <c r="H11" s="5">
        <v>-5</v>
      </c>
      <c r="I11" s="5">
        <v>0.7</v>
      </c>
      <c r="J11" s="5">
        <f>SUM(J8:J10)</f>
        <v>-1.7718048178752097</v>
      </c>
      <c r="K11" s="5">
        <f>SUM(K8:K10)</f>
        <v>0.6</v>
      </c>
      <c r="L11" s="5">
        <f>SUM(L8:L10)</f>
        <v>4.3</v>
      </c>
      <c r="M11" s="5">
        <f>SUM(M8:M10)</f>
        <v>5</v>
      </c>
      <c r="N11" s="5">
        <f>SUM(N8:N10)</f>
        <v>5.5</v>
      </c>
      <c r="O11" s="5">
        <v>0.2999999999999998</v>
      </c>
      <c r="P11" s="5">
        <v>7.1371</v>
      </c>
      <c r="Q11" s="5">
        <v>0</v>
      </c>
      <c r="R11" s="5">
        <v>-2.9999999999999996</v>
      </c>
      <c r="S11" s="5">
        <v>-19.700000000000003</v>
      </c>
      <c r="T11" s="5">
        <v>5.5196030021858355</v>
      </c>
      <c r="U11" s="5">
        <v>5.908122136999999</v>
      </c>
      <c r="V11" s="5">
        <v>9.212120000000002</v>
      </c>
      <c r="W11" s="5">
        <v>29.080164000000003</v>
      </c>
      <c r="X11" s="5">
        <v>-3.3589306899999998</v>
      </c>
      <c r="Y11" s="5">
        <v>4.336242952</v>
      </c>
      <c r="Z11" s="5">
        <v>3.7635202</v>
      </c>
      <c r="AA11" s="5">
        <v>11.370135163816443</v>
      </c>
      <c r="AB11" s="5">
        <v>13.949</v>
      </c>
      <c r="AC11" s="5">
        <v>1.2558861057424107</v>
      </c>
      <c r="AD11" s="5">
        <v>8.7</v>
      </c>
      <c r="AE11" s="5">
        <v>-3.245289985734889</v>
      </c>
      <c r="AF11" s="5">
        <v>-5.151726335122618</v>
      </c>
      <c r="AG11" s="5">
        <v>-0.3713684165661023</v>
      </c>
    </row>
    <row r="12" spans="1:5" ht="12.75">
      <c r="A12" s="66" t="s">
        <v>10</v>
      </c>
      <c r="B12" s="70"/>
      <c r="C12" s="66"/>
      <c r="D12" s="31"/>
      <c r="E12" s="31"/>
    </row>
    <row r="13" spans="1:33" s="17" customFormat="1" ht="12.75">
      <c r="A13" s="67" t="s">
        <v>7</v>
      </c>
      <c r="B13" s="67"/>
      <c r="C13" s="67"/>
      <c r="D13" s="50" t="s">
        <v>5</v>
      </c>
      <c r="E13" s="50" t="s">
        <v>5</v>
      </c>
      <c r="F13" s="30" t="str">
        <f aca="true" t="shared" si="0" ref="F13:N13">F6</f>
        <v>2017 Q1</v>
      </c>
      <c r="G13" s="30" t="str">
        <f t="shared" si="0"/>
        <v>2017 Q2</v>
      </c>
      <c r="H13" s="30" t="str">
        <f t="shared" si="0"/>
        <v>2017 Q3</v>
      </c>
      <c r="I13" s="30" t="str">
        <f t="shared" si="0"/>
        <v>2017 Q4</v>
      </c>
      <c r="J13" s="30" t="str">
        <f t="shared" si="0"/>
        <v>2018 Q1</v>
      </c>
      <c r="K13" s="30" t="str">
        <f t="shared" si="0"/>
        <v>2018 Q2</v>
      </c>
      <c r="L13" s="30" t="str">
        <f t="shared" si="0"/>
        <v>2018 Q3</v>
      </c>
      <c r="M13" s="30" t="str">
        <f t="shared" si="0"/>
        <v>2018 Q4</v>
      </c>
      <c r="N13" s="30" t="str">
        <f t="shared" si="0"/>
        <v>2019 Q1</v>
      </c>
      <c r="O13" s="30" t="s">
        <v>574</v>
      </c>
      <c r="P13" s="30" t="s">
        <v>575</v>
      </c>
      <c r="Q13" s="30" t="s">
        <v>601</v>
      </c>
      <c r="R13" s="30" t="s">
        <v>617</v>
      </c>
      <c r="S13" s="30" t="s">
        <v>618</v>
      </c>
      <c r="T13" s="30" t="s">
        <v>620</v>
      </c>
      <c r="U13" s="30" t="s">
        <v>621</v>
      </c>
      <c r="V13" s="30" t="s">
        <v>625</v>
      </c>
      <c r="W13" s="30" t="s">
        <v>634</v>
      </c>
      <c r="X13" s="30" t="s">
        <v>635</v>
      </c>
      <c r="Y13" s="44" t="s">
        <v>636</v>
      </c>
      <c r="Z13" s="44" t="s">
        <v>638</v>
      </c>
      <c r="AA13" s="44" t="s">
        <v>639</v>
      </c>
      <c r="AB13" s="44" t="s">
        <v>644</v>
      </c>
      <c r="AC13" s="44" t="s">
        <v>645</v>
      </c>
      <c r="AD13" s="44" t="s">
        <v>653</v>
      </c>
      <c r="AE13" s="44" t="s">
        <v>654</v>
      </c>
      <c r="AF13" s="44" t="s">
        <v>655</v>
      </c>
      <c r="AG13" s="44" t="s">
        <v>656</v>
      </c>
    </row>
    <row r="14" spans="1:5" s="13" customFormat="1" ht="12.75">
      <c r="A14" s="65" t="s">
        <v>177</v>
      </c>
      <c r="B14" s="65"/>
      <c r="C14" s="65" t="s">
        <v>168</v>
      </c>
      <c r="D14" s="13" t="s">
        <v>171</v>
      </c>
      <c r="E14" s="13" t="s">
        <v>171</v>
      </c>
    </row>
    <row r="15" spans="1:33" ht="12.75">
      <c r="A15" s="66" t="s">
        <v>8</v>
      </c>
      <c r="B15" s="66"/>
      <c r="C15" s="66" t="s">
        <v>168</v>
      </c>
      <c r="D15" s="31" t="s">
        <v>172</v>
      </c>
      <c r="E15" s="31" t="s">
        <v>172</v>
      </c>
      <c r="F15" s="4">
        <v>-2.8</v>
      </c>
      <c r="G15" s="4">
        <v>-1.4</v>
      </c>
      <c r="H15" s="4">
        <v>-2</v>
      </c>
      <c r="I15" s="4">
        <v>-0.4</v>
      </c>
      <c r="J15" s="4">
        <v>1.86372357290279</v>
      </c>
      <c r="K15" s="4">
        <v>0.8</v>
      </c>
      <c r="L15" s="4">
        <v>0.7</v>
      </c>
      <c r="M15" s="4">
        <v>1.2</v>
      </c>
      <c r="N15" s="4">
        <v>1.2</v>
      </c>
      <c r="O15" s="4">
        <v>-1.1</v>
      </c>
      <c r="P15" s="4">
        <v>-0.3</v>
      </c>
      <c r="Q15" s="4">
        <v>-1</v>
      </c>
      <c r="R15" s="4">
        <v>-5.1</v>
      </c>
      <c r="S15" s="4">
        <v>-11</v>
      </c>
      <c r="T15" s="4">
        <v>-1.99068830398735</v>
      </c>
      <c r="U15" s="4">
        <v>3.1964637</v>
      </c>
      <c r="V15" s="4">
        <v>22.8472</v>
      </c>
      <c r="W15" s="4">
        <v>30.7</v>
      </c>
      <c r="X15" s="4">
        <v>18.248</v>
      </c>
      <c r="Y15" s="2">
        <v>14.2</v>
      </c>
      <c r="Z15" s="2">
        <v>-3.397613</v>
      </c>
      <c r="AA15" s="2">
        <v>-1.58408</v>
      </c>
      <c r="AB15" s="2">
        <v>-0.7</v>
      </c>
      <c r="AC15" s="2">
        <v>-2.8</v>
      </c>
      <c r="AD15" s="4">
        <v>2.2</v>
      </c>
      <c r="AE15" s="4">
        <v>-3.3</v>
      </c>
      <c r="AF15" s="4">
        <v>-7.92</v>
      </c>
      <c r="AG15" s="2">
        <v>-4</v>
      </c>
    </row>
    <row r="16" spans="1:33" ht="12.75">
      <c r="A16" s="66" t="s">
        <v>8</v>
      </c>
      <c r="B16" s="66"/>
      <c r="C16" s="66" t="s">
        <v>168</v>
      </c>
      <c r="D16" s="31" t="s">
        <v>173</v>
      </c>
      <c r="E16" s="31" t="s">
        <v>173</v>
      </c>
      <c r="F16" s="4">
        <v>-0.4</v>
      </c>
      <c r="G16" s="4">
        <v>0.4</v>
      </c>
      <c r="H16" s="4">
        <v>0.8</v>
      </c>
      <c r="I16" s="4">
        <v>1</v>
      </c>
      <c r="J16" s="4">
        <v>1.1</v>
      </c>
      <c r="K16" s="4">
        <v>0.7</v>
      </c>
      <c r="L16" s="4">
        <v>0.3</v>
      </c>
      <c r="M16" s="4">
        <v>0</v>
      </c>
      <c r="N16" s="4">
        <v>-0.6</v>
      </c>
      <c r="O16" s="4">
        <v>-0.5</v>
      </c>
      <c r="P16" s="4">
        <v>-0.4</v>
      </c>
      <c r="Q16" s="4">
        <v>-0.3</v>
      </c>
      <c r="R16" s="4">
        <v>0</v>
      </c>
      <c r="S16" s="4">
        <v>0</v>
      </c>
      <c r="T16" s="4">
        <v>0.0200206654669744</v>
      </c>
      <c r="U16" s="4">
        <v>0.07609559</v>
      </c>
      <c r="V16" s="4">
        <v>0.16662</v>
      </c>
      <c r="W16" s="4">
        <v>0.221806</v>
      </c>
      <c r="X16" s="4">
        <v>0.20925087</v>
      </c>
      <c r="Y16" s="2">
        <v>0.2</v>
      </c>
      <c r="Z16" s="2">
        <v>0.0991995</v>
      </c>
      <c r="AA16" s="2">
        <v>0.098975</v>
      </c>
      <c r="AB16" s="2">
        <v>-0.2</v>
      </c>
      <c r="AC16" s="2">
        <v>-0.8</v>
      </c>
      <c r="AD16" s="4">
        <v>-1.1</v>
      </c>
      <c r="AE16" s="4">
        <v>-0.8</v>
      </c>
      <c r="AF16" s="4">
        <v>-0.00172633512261803</v>
      </c>
      <c r="AG16" s="2">
        <v>-0.3</v>
      </c>
    </row>
    <row r="17" spans="1:33" ht="12.75">
      <c r="A17" s="66" t="s">
        <v>8</v>
      </c>
      <c r="B17" s="66"/>
      <c r="C17" s="66" t="s">
        <v>168</v>
      </c>
      <c r="D17" s="42" t="s">
        <v>174</v>
      </c>
      <c r="E17" s="42" t="s">
        <v>174</v>
      </c>
      <c r="F17" s="2">
        <v>5.9</v>
      </c>
      <c r="G17" s="2">
        <v>4.9</v>
      </c>
      <c r="H17" s="2">
        <v>2</v>
      </c>
      <c r="I17" s="2">
        <v>0.2</v>
      </c>
      <c r="J17" s="2">
        <v>-4.735528390778</v>
      </c>
      <c r="K17" s="2">
        <v>-2</v>
      </c>
      <c r="L17" s="2">
        <v>0.1</v>
      </c>
      <c r="M17" s="2">
        <v>0.9</v>
      </c>
      <c r="N17" s="2">
        <v>4.9</v>
      </c>
      <c r="O17" s="2">
        <v>4.3</v>
      </c>
      <c r="P17" s="2">
        <v>4.9</v>
      </c>
      <c r="Q17" s="2">
        <v>4.3</v>
      </c>
      <c r="R17" s="2">
        <v>2.1</v>
      </c>
      <c r="S17" s="2">
        <v>-0.6</v>
      </c>
      <c r="T17" s="2">
        <v>-3.67701269947225</v>
      </c>
      <c r="U17" s="2">
        <v>-5.811253</v>
      </c>
      <c r="V17" s="2">
        <v>-13.8017</v>
      </c>
      <c r="W17" s="2">
        <v>-12.3</v>
      </c>
      <c r="X17" s="2">
        <v>-8.46354306</v>
      </c>
      <c r="Y17" s="2">
        <v>-6</v>
      </c>
      <c r="Z17" s="2">
        <v>7.0619337</v>
      </c>
      <c r="AA17" s="2">
        <v>9.133803</v>
      </c>
      <c r="AB17" s="2">
        <v>10.7</v>
      </c>
      <c r="AC17" s="2">
        <v>10.9</v>
      </c>
      <c r="AD17" s="4">
        <v>7.6</v>
      </c>
      <c r="AE17" s="4">
        <v>6.5</v>
      </c>
      <c r="AF17" s="4">
        <v>2.77</v>
      </c>
      <c r="AG17" s="2">
        <v>4</v>
      </c>
    </row>
    <row r="18" spans="1:33" ht="12.75">
      <c r="A18" s="66" t="s">
        <v>9</v>
      </c>
      <c r="B18" s="66"/>
      <c r="C18" s="66" t="s">
        <v>168</v>
      </c>
      <c r="D18" s="40" t="s">
        <v>175</v>
      </c>
      <c r="E18" s="40" t="s">
        <v>175</v>
      </c>
      <c r="F18" s="5">
        <v>2.7</v>
      </c>
      <c r="G18" s="5">
        <v>3.9</v>
      </c>
      <c r="H18" s="5">
        <v>0.8</v>
      </c>
      <c r="I18" s="5">
        <v>0.8</v>
      </c>
      <c r="J18" s="5">
        <f>SUM(J15:J17)</f>
        <v>-1.7718048178752097</v>
      </c>
      <c r="K18" s="5">
        <f>SUM(K15:K17)</f>
        <v>-0.5</v>
      </c>
      <c r="L18" s="5">
        <f>SUM(L15:L17)</f>
        <v>1.1</v>
      </c>
      <c r="M18" s="5">
        <f>SUM(M15:M17)</f>
        <v>2.1</v>
      </c>
      <c r="N18" s="5">
        <f>SUM(N15:N17)</f>
        <v>5.5</v>
      </c>
      <c r="O18" s="5">
        <v>2.6999999999999997</v>
      </c>
      <c r="P18" s="5">
        <v>4.2</v>
      </c>
      <c r="Q18" s="5">
        <v>3</v>
      </c>
      <c r="R18" s="5">
        <v>-2.9999999999999996</v>
      </c>
      <c r="S18" s="5">
        <v>-11.6</v>
      </c>
      <c r="T18" s="5">
        <v>-5.647680337992625</v>
      </c>
      <c r="U18" s="5">
        <v>-2.53869371</v>
      </c>
      <c r="V18" s="5">
        <v>9.212120000000002</v>
      </c>
      <c r="W18" s="5">
        <v>29.080164000000003</v>
      </c>
      <c r="X18" s="5">
        <v>9.993707810000004</v>
      </c>
      <c r="Y18" s="228">
        <v>8.3</v>
      </c>
      <c r="Z18" s="228">
        <v>3.7635202</v>
      </c>
      <c r="AA18" s="228">
        <v>7.6487</v>
      </c>
      <c r="AB18" s="228">
        <v>9.799999999999999</v>
      </c>
      <c r="AC18" s="5">
        <v>7.300000000000001</v>
      </c>
      <c r="AD18" s="5">
        <v>8.7</v>
      </c>
      <c r="AE18" s="5">
        <v>2.4</v>
      </c>
      <c r="AF18" s="5">
        <v>-5.151726335122618</v>
      </c>
      <c r="AG18" s="5">
        <v>-0.30000000000000004</v>
      </c>
    </row>
    <row r="19" ht="12.75">
      <c r="A19" s="66" t="s">
        <v>10</v>
      </c>
    </row>
    <row r="20" spans="1:11" ht="224.25">
      <c r="A20" s="66" t="s">
        <v>615</v>
      </c>
      <c r="E20" s="61" t="s">
        <v>616</v>
      </c>
      <c r="F20" s="55"/>
      <c r="G20" s="55"/>
      <c r="H20" s="55"/>
      <c r="I20" s="55"/>
      <c r="J20" s="55"/>
      <c r="K20" s="55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&amp;L&amp;D/&amp;F</oddHeader>
    <oddFooter>&amp;L&amp;"Calibri"&amp;11&amp;K000000&amp;"Calibri"&amp;11&amp;K000000
&amp;1#&amp;"Calibri"&amp;8&amp;K000000 Classified as Internal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G25"/>
  <sheetViews>
    <sheetView zoomScaleSheetLayoutView="100" zoomScalePageLayoutView="0" workbookViewId="0" topLeftCell="R3">
      <selection activeCell="Z43" sqref="Z43"/>
    </sheetView>
  </sheetViews>
  <sheetFormatPr defaultColWidth="9.28125" defaultRowHeight="12.75"/>
  <cols>
    <col min="1" max="1" width="11.28125" style="66" bestFit="1" customWidth="1"/>
    <col min="2" max="2" width="12.28125" style="16" bestFit="1" customWidth="1"/>
    <col min="3" max="3" width="7.57421875" style="16" customWidth="1"/>
    <col min="4" max="4" width="23.28125" style="16" hidden="1" customWidth="1"/>
    <col min="5" max="5" width="39.7109375" style="16" customWidth="1"/>
    <col min="6" max="6" width="7.57421875" style="16" customWidth="1"/>
    <col min="7" max="7" width="7.57421875" style="16" hidden="1" customWidth="1"/>
    <col min="8" max="8" width="8.28125" style="16" hidden="1" customWidth="1"/>
    <col min="9" max="10" width="10.140625" style="16" hidden="1" customWidth="1"/>
    <col min="11" max="11" width="9.28125" style="16" hidden="1" customWidth="1"/>
    <col min="12" max="12" width="8.8515625" style="16" hidden="1" customWidth="1"/>
    <col min="13" max="13" width="7.00390625" style="16" hidden="1" customWidth="1"/>
    <col min="14" max="14" width="7.8515625" style="16" hidden="1" customWidth="1"/>
    <col min="15" max="15" width="9.57421875" style="16" hidden="1" customWidth="1"/>
    <col min="16" max="17" width="9.57421875" style="16" customWidth="1"/>
    <col min="18" max="18" width="8.7109375" style="16" customWidth="1"/>
    <col min="19" max="21" width="9.57421875" style="16" customWidth="1"/>
    <col min="22" max="16384" width="9.28125" style="16" customWidth="1"/>
  </cols>
  <sheetData>
    <row r="1" spans="1:5" ht="17.25">
      <c r="A1" s="68">
        <v>44377</v>
      </c>
      <c r="B1" s="32" t="s">
        <v>26</v>
      </c>
      <c r="C1" s="33"/>
      <c r="D1" s="34" t="str">
        <f>Company</f>
        <v>AB Electrolux</v>
      </c>
      <c r="E1" s="34" t="str">
        <f>Company</f>
        <v>AB Electrolux</v>
      </c>
    </row>
    <row r="2" spans="1:5" ht="12.75">
      <c r="A2" s="69"/>
      <c r="B2" s="32" t="s">
        <v>28</v>
      </c>
      <c r="C2" s="33"/>
      <c r="D2" s="35">
        <f>A1</f>
        <v>44377</v>
      </c>
      <c r="E2" s="36">
        <f>+A1</f>
        <v>44377</v>
      </c>
    </row>
    <row r="3" spans="1:5" ht="12.75">
      <c r="A3" s="69"/>
      <c r="B3" s="32" t="s">
        <v>29</v>
      </c>
      <c r="C3" s="33" t="s">
        <v>30</v>
      </c>
      <c r="D3" s="37" t="s">
        <v>31</v>
      </c>
      <c r="E3" s="37" t="s">
        <v>32</v>
      </c>
    </row>
    <row r="4" spans="1:5" ht="15">
      <c r="A4" s="66" t="s">
        <v>6</v>
      </c>
      <c r="B4" s="32" t="s">
        <v>33</v>
      </c>
      <c r="D4" s="24" t="s">
        <v>576</v>
      </c>
      <c r="E4" s="24" t="s">
        <v>632</v>
      </c>
    </row>
    <row r="5" spans="2:5" ht="12.75">
      <c r="B5" s="32" t="s">
        <v>35</v>
      </c>
      <c r="C5" s="33" t="s">
        <v>139</v>
      </c>
      <c r="D5" s="14"/>
      <c r="E5" s="14"/>
    </row>
    <row r="6" spans="1:33" s="44" customFormat="1" ht="12.75">
      <c r="A6" s="71" t="s">
        <v>7</v>
      </c>
      <c r="B6" s="41" t="s">
        <v>34</v>
      </c>
      <c r="C6" s="38" t="s">
        <v>139</v>
      </c>
      <c r="D6" s="50" t="s">
        <v>5</v>
      </c>
      <c r="E6" s="50" t="s">
        <v>5</v>
      </c>
      <c r="F6" s="30" t="s">
        <v>185</v>
      </c>
      <c r="G6" s="30" t="s">
        <v>186</v>
      </c>
      <c r="H6" s="30" t="s">
        <v>187</v>
      </c>
      <c r="I6" s="30" t="s">
        <v>188</v>
      </c>
      <c r="J6" s="30" t="s">
        <v>189</v>
      </c>
      <c r="K6" s="30" t="s">
        <v>190</v>
      </c>
      <c r="L6" s="30" t="s">
        <v>191</v>
      </c>
      <c r="M6" s="30" t="s">
        <v>192</v>
      </c>
      <c r="N6" s="30" t="s">
        <v>230</v>
      </c>
      <c r="O6" s="30" t="s">
        <v>574</v>
      </c>
      <c r="P6" s="30" t="s">
        <v>575</v>
      </c>
      <c r="Q6" s="30" t="s">
        <v>601</v>
      </c>
      <c r="R6" s="30" t="s">
        <v>617</v>
      </c>
      <c r="S6" s="30" t="s">
        <v>618</v>
      </c>
      <c r="T6" s="30" t="s">
        <v>620</v>
      </c>
      <c r="U6" s="30" t="s">
        <v>621</v>
      </c>
      <c r="V6" s="30" t="s">
        <v>625</v>
      </c>
      <c r="W6" s="30" t="s">
        <v>634</v>
      </c>
      <c r="X6" s="30" t="s">
        <v>635</v>
      </c>
      <c r="Y6" s="44" t="s">
        <v>636</v>
      </c>
      <c r="Z6" s="44" t="s">
        <v>638</v>
      </c>
      <c r="AA6" s="44" t="s">
        <v>639</v>
      </c>
      <c r="AB6" s="44" t="s">
        <v>644</v>
      </c>
      <c r="AC6" s="44" t="s">
        <v>645</v>
      </c>
      <c r="AD6" s="44" t="s">
        <v>653</v>
      </c>
      <c r="AE6" s="44" t="s">
        <v>654</v>
      </c>
      <c r="AF6" s="44" t="s">
        <v>655</v>
      </c>
      <c r="AG6" s="44" t="s">
        <v>656</v>
      </c>
    </row>
    <row r="7" spans="1:21" s="13" customFormat="1" ht="12.75">
      <c r="A7" s="65" t="s">
        <v>177</v>
      </c>
      <c r="B7" s="80"/>
      <c r="C7" s="81"/>
      <c r="D7" s="82" t="s">
        <v>163</v>
      </c>
      <c r="E7" s="82" t="s">
        <v>163</v>
      </c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</row>
    <row r="8" spans="1:33" ht="12.75">
      <c r="A8" s="66" t="s">
        <v>8</v>
      </c>
      <c r="B8" s="66"/>
      <c r="C8" s="66"/>
      <c r="D8" s="18" t="s">
        <v>14</v>
      </c>
      <c r="E8" s="18" t="s">
        <v>14</v>
      </c>
      <c r="F8" s="7">
        <v>84534</v>
      </c>
      <c r="G8" s="7">
        <v>85899</v>
      </c>
      <c r="H8" s="7">
        <v>88596</v>
      </c>
      <c r="I8" s="7">
        <v>89542</v>
      </c>
      <c r="J8" s="7">
        <v>89209</v>
      </c>
      <c r="K8" s="7">
        <v>92151</v>
      </c>
      <c r="L8" s="7">
        <v>93262</v>
      </c>
      <c r="M8" s="7">
        <v>97312</v>
      </c>
      <c r="N8" s="7">
        <v>101008</v>
      </c>
      <c r="O8" s="7">
        <v>101926</v>
      </c>
      <c r="P8" s="7">
        <v>106251</v>
      </c>
      <c r="Q8" s="7">
        <v>106808</v>
      </c>
      <c r="R8" s="7">
        <v>101656</v>
      </c>
      <c r="S8" s="7">
        <v>96255</v>
      </c>
      <c r="T8" s="7">
        <v>100058</v>
      </c>
      <c r="U8" s="7">
        <v>99604</v>
      </c>
      <c r="V8" s="7">
        <v>105181.49248940004</v>
      </c>
      <c r="W8" s="7">
        <v>105590.0176193</v>
      </c>
      <c r="X8" s="7">
        <v>109099.6634237</v>
      </c>
      <c r="Y8" s="20">
        <v>107606.82129030007</v>
      </c>
      <c r="Z8" s="20">
        <v>112941.86159959996</v>
      </c>
      <c r="AA8" s="20">
        <v>125385.23705119998</v>
      </c>
      <c r="AB8" s="20">
        <v>128260.33767459988</v>
      </c>
      <c r="AC8" s="20">
        <v>127102.16435929996</v>
      </c>
      <c r="AD8" s="20">
        <v>122719.40744329999</v>
      </c>
      <c r="AE8" s="20">
        <v>127801.27105529995</v>
      </c>
      <c r="AF8" s="20">
        <v>129097.40644939992</v>
      </c>
      <c r="AG8" s="20">
        <v>120052.70827149999</v>
      </c>
    </row>
    <row r="9" spans="1:33" ht="12.75">
      <c r="A9" s="66" t="s">
        <v>8</v>
      </c>
      <c r="B9" s="85" t="s">
        <v>11</v>
      </c>
      <c r="C9" s="66"/>
      <c r="D9" s="18" t="s">
        <v>123</v>
      </c>
      <c r="E9" s="18" t="s">
        <v>123</v>
      </c>
      <c r="F9" s="7">
        <v>22930</v>
      </c>
      <c r="G9" s="7">
        <v>20986</v>
      </c>
      <c r="H9" s="7">
        <v>20170</v>
      </c>
      <c r="I9" s="7">
        <v>20678</v>
      </c>
      <c r="J9" s="7">
        <v>25147</v>
      </c>
      <c r="K9" s="7">
        <v>24027</v>
      </c>
      <c r="L9" s="7">
        <v>23480</v>
      </c>
      <c r="M9" s="7">
        <v>23574</v>
      </c>
      <c r="N9" s="7">
        <v>31186</v>
      </c>
      <c r="O9" s="7">
        <v>33367</v>
      </c>
      <c r="P9" s="7">
        <v>32834</v>
      </c>
      <c r="Q9" s="7">
        <v>26172</v>
      </c>
      <c r="R9" s="7">
        <v>29502</v>
      </c>
      <c r="S9" s="7">
        <v>27931</v>
      </c>
      <c r="T9" s="7">
        <v>23946</v>
      </c>
      <c r="U9" s="7">
        <v>20265</v>
      </c>
      <c r="V9" s="7">
        <v>22860.281473900028</v>
      </c>
      <c r="W9" s="7">
        <v>23542.419021500005</v>
      </c>
      <c r="X9" s="7">
        <v>25431.84524780001</v>
      </c>
      <c r="Y9" s="20">
        <v>27201.1697475</v>
      </c>
      <c r="Z9" s="20">
        <v>35667.88426700001</v>
      </c>
      <c r="AA9" s="20">
        <v>37780.37790239999</v>
      </c>
      <c r="AB9" s="20">
        <v>42472.1222368</v>
      </c>
      <c r="AC9" s="20">
        <v>40296.94308840003</v>
      </c>
      <c r="AD9" s="20">
        <v>46053.59663549999</v>
      </c>
      <c r="AE9" s="20">
        <v>47069.10540439998</v>
      </c>
      <c r="AF9" s="20">
        <v>46084.277218100004</v>
      </c>
      <c r="AG9" s="20">
        <v>37500.08708709999</v>
      </c>
    </row>
    <row r="10" spans="1:33" ht="12.75">
      <c r="A10" s="66" t="s">
        <v>8</v>
      </c>
      <c r="B10" s="85" t="s">
        <v>11</v>
      </c>
      <c r="C10" s="66"/>
      <c r="D10" s="18" t="s">
        <v>124</v>
      </c>
      <c r="E10" s="18" t="s">
        <v>124</v>
      </c>
      <c r="F10" s="7">
        <v>-12547</v>
      </c>
      <c r="G10" s="7">
        <v>-13968</v>
      </c>
      <c r="H10" s="7">
        <v>-14436</v>
      </c>
      <c r="I10" s="7">
        <v>-15873</v>
      </c>
      <c r="J10" s="7">
        <v>-12190</v>
      </c>
      <c r="K10" s="7">
        <v>-14167</v>
      </c>
      <c r="L10" s="7">
        <v>-14714</v>
      </c>
      <c r="M10" s="7">
        <v>-16848</v>
      </c>
      <c r="N10" s="7">
        <v>-13202</v>
      </c>
      <c r="O10" s="7">
        <v>-12374</v>
      </c>
      <c r="P10" s="7">
        <v>-14692</v>
      </c>
      <c r="Q10" s="7">
        <v>-17390</v>
      </c>
      <c r="R10" s="7">
        <v>-15274</v>
      </c>
      <c r="S10" s="7">
        <v>-14757</v>
      </c>
      <c r="T10" s="7">
        <v>-17357</v>
      </c>
      <c r="U10" s="7">
        <v>-19191</v>
      </c>
      <c r="V10" s="7">
        <v>-17168.06527739998</v>
      </c>
      <c r="W10" s="7">
        <v>-16511.68150729998</v>
      </c>
      <c r="X10" s="7">
        <v>-15633.496046499982</v>
      </c>
      <c r="Y10" s="20">
        <v>-17726.405177200006</v>
      </c>
      <c r="Z10" s="20">
        <v>-11123.571447599992</v>
      </c>
      <c r="AA10" s="20">
        <v>-11713.668830900016</v>
      </c>
      <c r="AB10" s="20">
        <v>-10840.149719699992</v>
      </c>
      <c r="AC10" s="20">
        <v>-13730.82134879996</v>
      </c>
      <c r="AD10" s="20">
        <v>-8232.73572840001</v>
      </c>
      <c r="AE10" s="20">
        <v>-10385.207829000014</v>
      </c>
      <c r="AF10" s="20">
        <v>-10849.073964700001</v>
      </c>
      <c r="AG10" s="20">
        <v>-16924.920235100006</v>
      </c>
    </row>
    <row r="11" spans="1:33" ht="12.75">
      <c r="A11" s="66" t="s">
        <v>8</v>
      </c>
      <c r="B11" s="66"/>
      <c r="C11" s="66"/>
      <c r="D11" s="18" t="s">
        <v>13</v>
      </c>
      <c r="E11" s="18" t="s">
        <v>13</v>
      </c>
      <c r="F11" s="7">
        <v>18743</v>
      </c>
      <c r="G11" s="7">
        <v>18515</v>
      </c>
      <c r="H11" s="7">
        <v>18956</v>
      </c>
      <c r="I11" s="7">
        <v>20747</v>
      </c>
      <c r="J11" s="7">
        <v>20220</v>
      </c>
      <c r="K11" s="7">
        <v>20305</v>
      </c>
      <c r="L11" s="7">
        <v>19702</v>
      </c>
      <c r="M11" s="7">
        <v>21482</v>
      </c>
      <c r="N11" s="7">
        <v>21439</v>
      </c>
      <c r="O11" s="7">
        <v>22216</v>
      </c>
      <c r="P11" s="7">
        <v>21174</v>
      </c>
      <c r="Q11" s="7">
        <v>20847</v>
      </c>
      <c r="R11" s="7">
        <v>18245.997051500002</v>
      </c>
      <c r="S11" s="7">
        <v>15813</v>
      </c>
      <c r="T11" s="7">
        <v>19154</v>
      </c>
      <c r="U11" s="7">
        <v>19944</v>
      </c>
      <c r="V11" s="7">
        <v>21083.1534492</v>
      </c>
      <c r="W11" s="7">
        <v>20597.641976799998</v>
      </c>
      <c r="X11" s="7">
        <v>21216.987637600003</v>
      </c>
      <c r="Y11" s="20">
        <v>23110.3798974</v>
      </c>
      <c r="Z11" s="20">
        <v>21691.3233309</v>
      </c>
      <c r="AA11" s="20">
        <v>22321.0589653</v>
      </c>
      <c r="AB11" s="20">
        <v>22798.2455657</v>
      </c>
      <c r="AC11" s="20">
        <v>21487.0511118</v>
      </c>
      <c r="AD11" s="20">
        <v>22435.4266666</v>
      </c>
      <c r="AE11" s="20">
        <v>22924.164998400003</v>
      </c>
      <c r="AF11" s="20">
        <v>22681.1544556</v>
      </c>
      <c r="AG11" s="20">
        <v>22246.918490699998</v>
      </c>
    </row>
    <row r="12" spans="1:33" ht="12.75">
      <c r="A12" s="66" t="s">
        <v>8</v>
      </c>
      <c r="B12" s="66"/>
      <c r="C12" s="66"/>
      <c r="D12" s="18" t="s">
        <v>12</v>
      </c>
      <c r="E12" s="18" t="s">
        <v>12</v>
      </c>
      <c r="F12" s="7">
        <v>15999</v>
      </c>
      <c r="G12" s="7">
        <v>15310</v>
      </c>
      <c r="H12" s="7">
        <v>16399</v>
      </c>
      <c r="I12" s="7">
        <v>14655</v>
      </c>
      <c r="J12" s="7">
        <v>16792</v>
      </c>
      <c r="K12" s="7">
        <v>17679</v>
      </c>
      <c r="L12" s="7">
        <v>18395</v>
      </c>
      <c r="M12" s="7">
        <v>16750</v>
      </c>
      <c r="N12" s="7">
        <v>19032</v>
      </c>
      <c r="O12" s="7">
        <v>19194</v>
      </c>
      <c r="P12" s="7">
        <v>20035</v>
      </c>
      <c r="Q12" s="7">
        <v>16194</v>
      </c>
      <c r="R12" s="7">
        <v>16860</v>
      </c>
      <c r="S12" s="7">
        <v>14315</v>
      </c>
      <c r="T12" s="7">
        <v>14006</v>
      </c>
      <c r="U12" s="7">
        <v>13213</v>
      </c>
      <c r="V12" s="7">
        <v>17242.4685394</v>
      </c>
      <c r="W12" s="7">
        <v>19226.6074899</v>
      </c>
      <c r="X12" s="7">
        <v>21336.7744574</v>
      </c>
      <c r="Y12" s="20">
        <v>20478.0506691</v>
      </c>
      <c r="Z12" s="20">
        <v>26363.786642399995</v>
      </c>
      <c r="AA12" s="20">
        <v>29686.6156994</v>
      </c>
      <c r="AB12" s="20">
        <v>31300.3076327</v>
      </c>
      <c r="AC12" s="20">
        <v>24374.3754138</v>
      </c>
      <c r="AD12" s="20">
        <v>24496.816072499998</v>
      </c>
      <c r="AE12" s="20">
        <v>25039.400055799993</v>
      </c>
      <c r="AF12" s="20">
        <v>24213.5340448</v>
      </c>
      <c r="AG12" s="20">
        <v>19964.908716399998</v>
      </c>
    </row>
    <row r="13" spans="1:33" ht="12.75">
      <c r="A13" s="66" t="s">
        <v>8</v>
      </c>
      <c r="B13" s="66"/>
      <c r="C13" s="66"/>
      <c r="D13" s="18" t="s">
        <v>15</v>
      </c>
      <c r="E13" s="18" t="s">
        <v>15</v>
      </c>
      <c r="F13" s="7">
        <v>-29073</v>
      </c>
      <c r="G13" s="7">
        <v>-29370</v>
      </c>
      <c r="H13" s="7">
        <v>-30200</v>
      </c>
      <c r="I13" s="7">
        <v>-31114</v>
      </c>
      <c r="J13" s="7">
        <v>-30937</v>
      </c>
      <c r="K13" s="7">
        <v>-32365</v>
      </c>
      <c r="L13" s="7">
        <v>-32216</v>
      </c>
      <c r="M13" s="7">
        <v>-34443</v>
      </c>
      <c r="N13" s="7">
        <v>-34563</v>
      </c>
      <c r="O13" s="7">
        <v>-34277</v>
      </c>
      <c r="P13" s="7">
        <v>-34792</v>
      </c>
      <c r="Q13" s="7">
        <v>-33892</v>
      </c>
      <c r="R13" s="7">
        <v>-32575</v>
      </c>
      <c r="S13" s="7">
        <v>-25440</v>
      </c>
      <c r="T13" s="7">
        <v>-28731</v>
      </c>
      <c r="U13" s="7">
        <v>-31306</v>
      </c>
      <c r="V13" s="7">
        <v>-35550.782828300005</v>
      </c>
      <c r="W13" s="7">
        <v>-35140.6981029</v>
      </c>
      <c r="X13" s="7">
        <v>-35402.4439665</v>
      </c>
      <c r="Y13" s="20">
        <v>-38181.6729358</v>
      </c>
      <c r="Z13" s="20">
        <v>-39287.9300733</v>
      </c>
      <c r="AA13" s="20">
        <v>-42490.0328061</v>
      </c>
      <c r="AB13" s="20">
        <v>-44187.9964636</v>
      </c>
      <c r="AC13" s="20">
        <v>-38357.284521300004</v>
      </c>
      <c r="AD13" s="20">
        <v>-36019.49953390001</v>
      </c>
      <c r="AE13" s="20">
        <v>-37822.5891407</v>
      </c>
      <c r="AF13" s="20">
        <v>-37023.74744020001</v>
      </c>
      <c r="AG13" s="20">
        <v>-36402.343556399996</v>
      </c>
    </row>
    <row r="14" spans="1:33" ht="12.75">
      <c r="A14" s="66" t="s">
        <v>8</v>
      </c>
      <c r="B14" s="85" t="s">
        <v>11</v>
      </c>
      <c r="C14" s="66"/>
      <c r="D14" s="18" t="s">
        <v>24</v>
      </c>
      <c r="E14" s="18" t="s">
        <v>24</v>
      </c>
      <c r="F14" s="7">
        <v>16507</v>
      </c>
      <c r="G14" s="7">
        <v>17133</v>
      </c>
      <c r="H14" s="7">
        <v>18179</v>
      </c>
      <c r="I14" s="7">
        <v>20480</v>
      </c>
      <c r="J14" s="7">
        <v>21748</v>
      </c>
      <c r="K14" s="7">
        <v>20090</v>
      </c>
      <c r="L14" s="7">
        <v>20686</v>
      </c>
      <c r="M14" s="7">
        <v>21749</v>
      </c>
      <c r="N14" s="7">
        <v>22777</v>
      </c>
      <c r="O14" s="7">
        <v>21118</v>
      </c>
      <c r="P14" s="7">
        <v>21384</v>
      </c>
      <c r="Q14" s="7">
        <v>22574</v>
      </c>
      <c r="R14" s="7">
        <v>18442</v>
      </c>
      <c r="S14" s="7">
        <v>17080</v>
      </c>
      <c r="T14" s="7">
        <v>19867</v>
      </c>
      <c r="U14" s="7">
        <v>18709</v>
      </c>
      <c r="V14" s="7">
        <v>19714.424179599984</v>
      </c>
      <c r="W14" s="7">
        <v>21437.44147460004</v>
      </c>
      <c r="X14" s="7">
        <v>17502.793620099947</v>
      </c>
      <c r="Y14" s="20">
        <v>18610.24402130001</v>
      </c>
      <c r="Z14" s="20">
        <v>17879.470025900006</v>
      </c>
      <c r="AA14" s="20">
        <v>20606.224815399983</v>
      </c>
      <c r="AB14" s="20">
        <v>20162.360095599965</v>
      </c>
      <c r="AC14" s="20">
        <v>16449.128566499952</v>
      </c>
      <c r="AD14" s="20">
        <v>15951.638250099983</v>
      </c>
      <c r="AE14" s="20">
        <v>17186.276179999964</v>
      </c>
      <c r="AF14" s="20">
        <v>16695.72177699999</v>
      </c>
      <c r="AG14" s="20">
        <v>11273.88929859999</v>
      </c>
    </row>
    <row r="15" spans="1:33" ht="12.75">
      <c r="A15" s="66" t="s">
        <v>8</v>
      </c>
      <c r="B15" s="66"/>
      <c r="C15" s="66"/>
      <c r="D15" s="18" t="s">
        <v>23</v>
      </c>
      <c r="E15" s="18" t="s">
        <v>23</v>
      </c>
      <c r="F15" s="7">
        <v>9530</v>
      </c>
      <c r="G15" s="7">
        <v>9953</v>
      </c>
      <c r="H15" s="7">
        <v>9633</v>
      </c>
      <c r="I15" s="7">
        <v>9078</v>
      </c>
      <c r="J15" s="7">
        <v>9529</v>
      </c>
      <c r="K15" s="7">
        <v>9946</v>
      </c>
      <c r="L15" s="7">
        <v>9928</v>
      </c>
      <c r="M15" s="7">
        <v>9982</v>
      </c>
      <c r="N15" s="7">
        <v>11149</v>
      </c>
      <c r="O15" s="7">
        <v>11392</v>
      </c>
      <c r="P15" s="7">
        <v>11163</v>
      </c>
      <c r="Q15" s="7">
        <v>10989</v>
      </c>
      <c r="R15" s="7">
        <v>16747</v>
      </c>
      <c r="S15" s="7">
        <v>19557</v>
      </c>
      <c r="T15" s="7">
        <v>16733</v>
      </c>
      <c r="U15" s="7">
        <v>15412</v>
      </c>
      <c r="V15" s="7">
        <v>15291.4547309</v>
      </c>
      <c r="W15" s="7">
        <v>15024.850740900001</v>
      </c>
      <c r="X15" s="7">
        <v>15421.637058400001</v>
      </c>
      <c r="Y15" s="20">
        <v>15680.836312900003</v>
      </c>
      <c r="Z15" s="20">
        <v>20122.543321800003</v>
      </c>
      <c r="AA15" s="20">
        <v>26605.1094458</v>
      </c>
      <c r="AB15" s="20">
        <v>27459.091587700004</v>
      </c>
      <c r="AC15" s="20">
        <v>37075.0924132</v>
      </c>
      <c r="AD15" s="20">
        <v>37100.485409</v>
      </c>
      <c r="AE15" s="20">
        <v>36541.042979499995</v>
      </c>
      <c r="AF15" s="20">
        <v>39644.484706300005</v>
      </c>
      <c r="AG15" s="20">
        <v>36140.1021464</v>
      </c>
    </row>
    <row r="16" spans="1:33" ht="12.75">
      <c r="A16" s="66" t="s">
        <v>8</v>
      </c>
      <c r="B16" s="66"/>
      <c r="C16" s="66"/>
      <c r="D16" s="18" t="s">
        <v>161</v>
      </c>
      <c r="E16" s="18" t="s">
        <v>161</v>
      </c>
      <c r="F16" s="7">
        <v>3590</v>
      </c>
      <c r="G16" s="7">
        <v>3085</v>
      </c>
      <c r="H16" s="7">
        <v>2764</v>
      </c>
      <c r="I16" s="7">
        <v>2634</v>
      </c>
      <c r="J16" s="7">
        <v>2406</v>
      </c>
      <c r="K16" s="7">
        <v>2352</v>
      </c>
      <c r="L16" s="7">
        <v>2593</v>
      </c>
      <c r="M16" s="7">
        <v>3814</v>
      </c>
      <c r="N16" s="7">
        <v>3182</v>
      </c>
      <c r="O16" s="7">
        <v>4099</v>
      </c>
      <c r="P16" s="7">
        <v>5565</v>
      </c>
      <c r="Q16" s="7">
        <v>3866</v>
      </c>
      <c r="R16" s="7">
        <v>5414</v>
      </c>
      <c r="S16" s="7">
        <v>5183</v>
      </c>
      <c r="T16" s="7">
        <v>4032</v>
      </c>
      <c r="U16" s="7">
        <v>3679</v>
      </c>
      <c r="V16" s="7">
        <v>2134.3707077</v>
      </c>
      <c r="W16" s="7">
        <v>1646.6350174000002</v>
      </c>
      <c r="X16" s="7">
        <v>1950.1500017999997</v>
      </c>
      <c r="Y16" s="20">
        <v>890.9580339999998</v>
      </c>
      <c r="Z16" s="20">
        <v>-470.13973970000006</v>
      </c>
      <c r="AA16" s="20">
        <v>-1686.7149287000002</v>
      </c>
      <c r="AB16" s="20">
        <v>-1297.49662</v>
      </c>
      <c r="AC16" s="20">
        <v>-244.55160039999987</v>
      </c>
      <c r="AD16" s="20">
        <v>-174.14104120000002</v>
      </c>
      <c r="AE16" s="20">
        <v>628.3344278</v>
      </c>
      <c r="AF16" s="20">
        <v>621.0250352</v>
      </c>
      <c r="AG16" s="20">
        <v>670.2074362000003</v>
      </c>
    </row>
    <row r="17" spans="1:33" ht="12.75">
      <c r="A17" s="66" t="s">
        <v>8</v>
      </c>
      <c r="B17" s="214" t="s">
        <v>237</v>
      </c>
      <c r="C17" s="66"/>
      <c r="D17" s="18" t="s">
        <v>160</v>
      </c>
      <c r="E17" s="18" t="s">
        <v>160</v>
      </c>
      <c r="F17" s="7">
        <v>1756</v>
      </c>
      <c r="G17" s="7">
        <v>-310</v>
      </c>
      <c r="H17" s="7">
        <v>-1851</v>
      </c>
      <c r="I17" s="7">
        <v>-2437</v>
      </c>
      <c r="J17" s="7">
        <v>993</v>
      </c>
      <c r="K17" s="7">
        <v>393</v>
      </c>
      <c r="L17" s="7">
        <v>-992</v>
      </c>
      <c r="M17" s="7">
        <v>-1989</v>
      </c>
      <c r="N17" s="7">
        <v>1666</v>
      </c>
      <c r="O17" s="7">
        <v>3463</v>
      </c>
      <c r="P17" s="7">
        <v>1292</v>
      </c>
      <c r="Q17" s="7">
        <v>667</v>
      </c>
      <c r="R17" s="7">
        <v>2456</v>
      </c>
      <c r="S17" s="7">
        <v>2716</v>
      </c>
      <c r="T17" s="7">
        <v>-2746</v>
      </c>
      <c r="U17" s="7">
        <v>-4741</v>
      </c>
      <c r="V17" s="7">
        <v>-3906.7448146999996</v>
      </c>
      <c r="W17" s="7">
        <v>-3194.0723549999966</v>
      </c>
      <c r="X17" s="7">
        <v>-2633.092940899998</v>
      </c>
      <c r="Y17" s="20">
        <v>4644.915414999998</v>
      </c>
      <c r="Z17" s="20">
        <v>12397.6930261</v>
      </c>
      <c r="AA17" s="20">
        <v>14063.781521199999</v>
      </c>
      <c r="AB17" s="20">
        <v>17965.539485600006</v>
      </c>
      <c r="AC17" s="20">
        <v>19828.149356699996</v>
      </c>
      <c r="AD17" s="20">
        <v>25963.24302789999</v>
      </c>
      <c r="AE17" s="20">
        <v>24333.871046999993</v>
      </c>
      <c r="AF17" s="20">
        <v>23869.650119899994</v>
      </c>
      <c r="AG17" s="20">
        <v>20870.938716099998</v>
      </c>
    </row>
    <row r="18" spans="1:33" s="17" customFormat="1" ht="12.75">
      <c r="A18" s="66" t="s">
        <v>8</v>
      </c>
      <c r="B18" s="85" t="s">
        <v>11</v>
      </c>
      <c r="C18" s="66"/>
      <c r="D18" s="19" t="s">
        <v>159</v>
      </c>
      <c r="E18" s="19" t="s">
        <v>159</v>
      </c>
      <c r="F18" s="8">
        <v>5346</v>
      </c>
      <c r="G18" s="8">
        <v>2775</v>
      </c>
      <c r="H18" s="8">
        <v>913</v>
      </c>
      <c r="I18" s="8">
        <v>197</v>
      </c>
      <c r="J18" s="8">
        <v>3399</v>
      </c>
      <c r="K18" s="8">
        <v>2745</v>
      </c>
      <c r="L18" s="8">
        <v>1601</v>
      </c>
      <c r="M18" s="8">
        <v>1825</v>
      </c>
      <c r="N18" s="8">
        <v>8410</v>
      </c>
      <c r="O18" s="8">
        <v>11027</v>
      </c>
      <c r="P18" s="8">
        <v>10229</v>
      </c>
      <c r="Q18" s="8">
        <v>7683</v>
      </c>
      <c r="R18" s="8">
        <v>11061</v>
      </c>
      <c r="S18" s="8">
        <v>10851</v>
      </c>
      <c r="T18" s="8">
        <v>4079</v>
      </c>
      <c r="U18" s="8">
        <v>1556</v>
      </c>
      <c r="V18" s="8">
        <v>846.6772589000002</v>
      </c>
      <c r="W18" s="8">
        <v>955.361652900004</v>
      </c>
      <c r="X18" s="8">
        <v>1893.6205706000014</v>
      </c>
      <c r="Y18" s="226">
        <v>8590.784845499998</v>
      </c>
      <c r="Z18" s="226">
        <v>15230.5401568</v>
      </c>
      <c r="AA18" s="226">
        <v>15912.3195772</v>
      </c>
      <c r="AB18" s="226">
        <v>21067.538994300005</v>
      </c>
      <c r="AC18" s="226">
        <v>23847.768083499996</v>
      </c>
      <c r="AD18" s="226">
        <v>30101.94289309999</v>
      </c>
      <c r="AE18" s="226">
        <v>29882.800260499993</v>
      </c>
      <c r="AF18" s="226">
        <v>29388.537628499995</v>
      </c>
      <c r="AG18" s="226">
        <v>26226.0911479</v>
      </c>
    </row>
    <row r="19" ht="12.75">
      <c r="A19" s="66" t="s">
        <v>10</v>
      </c>
    </row>
    <row r="20" spans="1:5" ht="12.75">
      <c r="A20" s="66" t="s">
        <v>16</v>
      </c>
      <c r="D20" s="18" t="s">
        <v>609</v>
      </c>
      <c r="E20" s="18" t="s">
        <v>642</v>
      </c>
    </row>
    <row r="21" ht="12.75">
      <c r="A21" s="66" t="s">
        <v>10</v>
      </c>
    </row>
    <row r="22" spans="1:11" ht="144.75">
      <c r="A22" s="66" t="s">
        <v>615</v>
      </c>
      <c r="E22" s="61" t="s">
        <v>616</v>
      </c>
      <c r="F22" s="55"/>
      <c r="G22" s="55"/>
      <c r="H22" s="55"/>
      <c r="I22" s="55"/>
      <c r="J22" s="55"/>
      <c r="K22" s="55"/>
    </row>
    <row r="25" ht="16.5">
      <c r="E25" s="251" t="s">
        <v>641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10" r:id="rId1"/>
  <headerFooter alignWithMargins="0">
    <oddHeader>&amp;L&amp;D/&amp;F</oddHeader>
    <oddFooter>&amp;L&amp;"Calibri"&amp;11&amp;K000000&amp;"Calibri"&amp;11&amp;K000000
&amp;1#&amp;"Calibri"&amp;8&amp;K000000 Classified as Internal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G19"/>
  <sheetViews>
    <sheetView zoomScale="85" zoomScaleNormal="85" zoomScaleSheetLayoutView="100" zoomScalePageLayoutView="0" workbookViewId="0" topLeftCell="A1">
      <selection activeCell="C14" sqref="C14"/>
    </sheetView>
  </sheetViews>
  <sheetFormatPr defaultColWidth="9.28125" defaultRowHeight="12.75"/>
  <cols>
    <col min="1" max="1" width="11.28125" style="66" bestFit="1" customWidth="1"/>
    <col min="2" max="2" width="12.28125" style="16" bestFit="1" customWidth="1"/>
    <col min="3" max="3" width="11.28125" style="16" bestFit="1" customWidth="1"/>
    <col min="4" max="4" width="18.7109375" style="16" hidden="1" customWidth="1"/>
    <col min="5" max="5" width="73.140625" style="16" customWidth="1"/>
    <col min="6" max="14" width="7.57421875" style="16" hidden="1" customWidth="1"/>
    <col min="15" max="21" width="9.28125" style="16" customWidth="1"/>
    <col min="22" max="16384" width="9.28125" style="16" customWidth="1"/>
  </cols>
  <sheetData>
    <row r="1" spans="1:5" ht="17.25">
      <c r="A1" s="68">
        <v>44377</v>
      </c>
      <c r="B1" s="32" t="s">
        <v>26</v>
      </c>
      <c r="C1" s="33"/>
      <c r="D1" s="34" t="str">
        <f>Company</f>
        <v>AB Electrolux</v>
      </c>
      <c r="E1" s="34" t="str">
        <f>Company</f>
        <v>AB Electrolux</v>
      </c>
    </row>
    <row r="2" spans="1:5" ht="12.75">
      <c r="A2" s="69"/>
      <c r="B2" s="32" t="s">
        <v>28</v>
      </c>
      <c r="C2" s="33"/>
      <c r="D2" s="35">
        <f>A1</f>
        <v>44377</v>
      </c>
      <c r="E2" s="36">
        <f>+A1</f>
        <v>44377</v>
      </c>
    </row>
    <row r="3" spans="1:5" ht="12.75">
      <c r="A3" s="69"/>
      <c r="B3" s="32" t="s">
        <v>29</v>
      </c>
      <c r="C3" s="33" t="s">
        <v>30</v>
      </c>
      <c r="D3" s="37" t="s">
        <v>31</v>
      </c>
      <c r="E3" s="37" t="s">
        <v>32</v>
      </c>
    </row>
    <row r="4" spans="1:5" ht="15">
      <c r="A4" s="66" t="s">
        <v>6</v>
      </c>
      <c r="B4" s="32" t="s">
        <v>33</v>
      </c>
      <c r="D4" s="24" t="s">
        <v>577</v>
      </c>
      <c r="E4" s="24" t="s">
        <v>631</v>
      </c>
    </row>
    <row r="5" spans="2:5" ht="12.75">
      <c r="B5" s="32" t="s">
        <v>35</v>
      </c>
      <c r="C5" s="33" t="s">
        <v>139</v>
      </c>
      <c r="D5" s="14"/>
      <c r="E5" s="14"/>
    </row>
    <row r="6" spans="1:33" s="44" customFormat="1" ht="12.75">
      <c r="A6" s="71" t="s">
        <v>7</v>
      </c>
      <c r="B6" s="41" t="s">
        <v>34</v>
      </c>
      <c r="C6" s="38" t="s">
        <v>139</v>
      </c>
      <c r="D6" s="53" t="s">
        <v>4</v>
      </c>
      <c r="E6" s="53" t="s">
        <v>4</v>
      </c>
      <c r="F6" s="30" t="s">
        <v>185</v>
      </c>
      <c r="G6" s="30" t="s">
        <v>186</v>
      </c>
      <c r="H6" s="30" t="s">
        <v>187</v>
      </c>
      <c r="I6" s="30" t="s">
        <v>188</v>
      </c>
      <c r="J6" s="30" t="s">
        <v>189</v>
      </c>
      <c r="K6" s="30" t="s">
        <v>190</v>
      </c>
      <c r="L6" s="30" t="s">
        <v>191</v>
      </c>
      <c r="M6" s="30" t="s">
        <v>192</v>
      </c>
      <c r="N6" s="30" t="s">
        <v>230</v>
      </c>
      <c r="O6" s="30" t="s">
        <v>574</v>
      </c>
      <c r="P6" s="30" t="s">
        <v>575</v>
      </c>
      <c r="Q6" s="30" t="s">
        <v>601</v>
      </c>
      <c r="R6" s="30" t="s">
        <v>617</v>
      </c>
      <c r="S6" s="30" t="s">
        <v>618</v>
      </c>
      <c r="T6" s="30" t="s">
        <v>620</v>
      </c>
      <c r="U6" s="30" t="s">
        <v>621</v>
      </c>
      <c r="V6" s="30" t="s">
        <v>625</v>
      </c>
      <c r="W6" s="30" t="s">
        <v>634</v>
      </c>
      <c r="X6" s="30" t="s">
        <v>635</v>
      </c>
      <c r="Y6" s="44" t="s">
        <v>636</v>
      </c>
      <c r="Z6" s="44" t="s">
        <v>638</v>
      </c>
      <c r="AA6" s="44" t="s">
        <v>639</v>
      </c>
      <c r="AB6" s="44" t="s">
        <v>644</v>
      </c>
      <c r="AC6" s="44" t="s">
        <v>645</v>
      </c>
      <c r="AD6" s="44" t="s">
        <v>653</v>
      </c>
      <c r="AE6" s="44" t="s">
        <v>654</v>
      </c>
      <c r="AF6" s="44" t="s">
        <v>655</v>
      </c>
      <c r="AG6" s="44" t="s">
        <v>656</v>
      </c>
    </row>
    <row r="7" spans="1:5" s="13" customFormat="1" ht="12.75">
      <c r="A7" s="65" t="s">
        <v>177</v>
      </c>
      <c r="B7" s="80"/>
      <c r="C7" s="81"/>
      <c r="D7" s="82" t="s">
        <v>163</v>
      </c>
      <c r="E7" s="82" t="s">
        <v>163</v>
      </c>
    </row>
    <row r="8" spans="1:33" ht="12.75">
      <c r="A8" s="66" t="s">
        <v>8</v>
      </c>
      <c r="B8" s="66"/>
      <c r="C8" s="66"/>
      <c r="D8" s="18" t="s">
        <v>120</v>
      </c>
      <c r="E8" s="18" t="s">
        <v>120</v>
      </c>
      <c r="F8" s="7">
        <v>2129</v>
      </c>
      <c r="G8" s="7">
        <v>2667</v>
      </c>
      <c r="H8" s="7">
        <v>2442</v>
      </c>
      <c r="I8" s="7">
        <v>2519</v>
      </c>
      <c r="J8" s="7">
        <v>2123</v>
      </c>
      <c r="K8" s="7">
        <v>2265</v>
      </c>
      <c r="L8" s="7">
        <v>2337</v>
      </c>
      <c r="M8" s="7">
        <v>2322</v>
      </c>
      <c r="N8" s="7">
        <v>1935</v>
      </c>
      <c r="O8" s="7">
        <v>2461</v>
      </c>
      <c r="P8" s="7">
        <v>2826</v>
      </c>
      <c r="Q8" s="7">
        <v>1569</v>
      </c>
      <c r="R8" s="7">
        <v>1194</v>
      </c>
      <c r="S8" s="7">
        <v>932</v>
      </c>
      <c r="T8" s="7">
        <v>4024</v>
      </c>
      <c r="U8" s="7">
        <v>2930</v>
      </c>
      <c r="V8" s="7">
        <v>3141.89575279999</v>
      </c>
      <c r="W8" s="7">
        <v>2466.0654400000285</v>
      </c>
      <c r="X8" s="7">
        <v>2605.6893437999884</v>
      </c>
      <c r="Y8" s="20">
        <v>2021.0395713000119</v>
      </c>
      <c r="Z8" s="20">
        <v>1674.0528307000181</v>
      </c>
      <c r="AA8" s="7">
        <v>1780.270878099988</v>
      </c>
      <c r="AB8" s="7">
        <v>626.8324961999905</v>
      </c>
      <c r="AC8" s="7">
        <v>11.77954269997926</v>
      </c>
      <c r="AD8" s="7">
        <v>1253.2999442999999</v>
      </c>
      <c r="AE8" s="7">
        <v>1289.137901800007</v>
      </c>
      <c r="AF8" s="7">
        <v>1205.8841459999971</v>
      </c>
      <c r="AG8" s="7">
        <v>-342.2070598999784</v>
      </c>
    </row>
    <row r="9" spans="1:33" ht="12.75">
      <c r="A9" s="66" t="s">
        <v>8</v>
      </c>
      <c r="B9" s="66"/>
      <c r="C9" s="66"/>
      <c r="D9" s="18" t="s">
        <v>121</v>
      </c>
      <c r="E9" s="18" t="s">
        <v>121</v>
      </c>
      <c r="F9" s="7">
        <v>-2742</v>
      </c>
      <c r="G9" s="7">
        <v>1269</v>
      </c>
      <c r="H9" s="7">
        <v>584</v>
      </c>
      <c r="I9" s="7">
        <v>1156</v>
      </c>
      <c r="J9" s="7">
        <v>-4370</v>
      </c>
      <c r="K9" s="7">
        <v>523</v>
      </c>
      <c r="L9" s="7">
        <v>331</v>
      </c>
      <c r="M9" s="7">
        <v>2516</v>
      </c>
      <c r="N9" s="7">
        <v>-4072</v>
      </c>
      <c r="O9" s="7">
        <v>-1039</v>
      </c>
      <c r="P9" s="7">
        <v>1280</v>
      </c>
      <c r="Q9" s="7">
        <v>3473</v>
      </c>
      <c r="R9" s="7">
        <v>-3358</v>
      </c>
      <c r="S9" s="7">
        <v>-51</v>
      </c>
      <c r="T9" s="7">
        <v>2584</v>
      </c>
      <c r="U9" s="7">
        <v>3677</v>
      </c>
      <c r="V9" s="7">
        <v>-2924.889744299999</v>
      </c>
      <c r="W9" s="7">
        <v>-402.9417413999997</v>
      </c>
      <c r="X9" s="7">
        <v>-1393.132839100001</v>
      </c>
      <c r="Y9" s="20">
        <v>1545.611332</v>
      </c>
      <c r="Z9" s="250">
        <v>-6181.881598099998</v>
      </c>
      <c r="AA9" s="249">
        <v>-533.1200076999999</v>
      </c>
      <c r="AB9" s="249">
        <v>-1123.5731270999988</v>
      </c>
      <c r="AC9" s="249">
        <v>1471.6506540999994</v>
      </c>
      <c r="AD9" s="249">
        <v>-5799.0961304</v>
      </c>
      <c r="AE9" s="249">
        <v>2255.3982937999995</v>
      </c>
      <c r="AF9" s="249">
        <v>-61.01790419999992</v>
      </c>
      <c r="AG9" s="249">
        <v>4201.6011546</v>
      </c>
    </row>
    <row r="10" spans="1:33" ht="12.75">
      <c r="A10" s="66" t="s">
        <v>8</v>
      </c>
      <c r="B10" s="214" t="s">
        <v>237</v>
      </c>
      <c r="D10" s="18" t="s">
        <v>17</v>
      </c>
      <c r="E10" s="18" t="s">
        <v>17</v>
      </c>
      <c r="F10" s="7">
        <v>-613</v>
      </c>
      <c r="G10" s="7">
        <v>3936</v>
      </c>
      <c r="H10" s="7">
        <v>3026</v>
      </c>
      <c r="I10" s="7">
        <v>3675</v>
      </c>
      <c r="J10" s="7">
        <v>-2247</v>
      </c>
      <c r="K10" s="7">
        <v>2787</v>
      </c>
      <c r="L10" s="7">
        <v>2668</v>
      </c>
      <c r="M10" s="7">
        <v>4839</v>
      </c>
      <c r="N10" s="7">
        <v>-2137</v>
      </c>
      <c r="O10" s="7">
        <v>1422</v>
      </c>
      <c r="P10" s="7">
        <v>4106</v>
      </c>
      <c r="Q10" s="7">
        <v>5043</v>
      </c>
      <c r="R10" s="7">
        <v>-2164</v>
      </c>
      <c r="S10" s="7">
        <v>881</v>
      </c>
      <c r="T10" s="7">
        <v>6608</v>
      </c>
      <c r="U10" s="7">
        <v>6606</v>
      </c>
      <c r="V10" s="7">
        <v>217.00809589998974</v>
      </c>
      <c r="W10" s="7">
        <v>2063.121885000027</v>
      </c>
      <c r="X10" s="7">
        <v>1212.5565046999923</v>
      </c>
      <c r="Y10" s="20">
        <v>3566.650903300032</v>
      </c>
      <c r="Z10" s="20">
        <v>-4507.828767399983</v>
      </c>
      <c r="AA10" s="7">
        <v>1247.1508703999941</v>
      </c>
      <c r="AB10" s="7">
        <v>-496.7406309000149</v>
      </c>
      <c r="AC10" s="7">
        <v>1483.430196799957</v>
      </c>
      <c r="AD10" s="7">
        <v>-4545.796186100007</v>
      </c>
      <c r="AE10" s="7">
        <v>3544.5361956000074</v>
      </c>
      <c r="AF10" s="7">
        <v>1144.8662417999844</v>
      </c>
      <c r="AG10" s="7">
        <v>3859.3940947000315</v>
      </c>
    </row>
    <row r="11" spans="1:33" ht="12.75">
      <c r="A11" s="66" t="s">
        <v>8</v>
      </c>
      <c r="B11" s="66"/>
      <c r="D11" s="18" t="s">
        <v>19</v>
      </c>
      <c r="E11" s="18" t="s">
        <v>19</v>
      </c>
      <c r="F11" s="7">
        <v>-3066</v>
      </c>
      <c r="G11" s="7">
        <v>-1729</v>
      </c>
      <c r="H11" s="7">
        <v>-1295</v>
      </c>
      <c r="I11" s="7">
        <v>-2110</v>
      </c>
      <c r="J11" s="7">
        <v>-1152</v>
      </c>
      <c r="K11" s="7">
        <v>-1269</v>
      </c>
      <c r="L11" s="7">
        <v>-1316</v>
      </c>
      <c r="M11" s="7">
        <v>-2770</v>
      </c>
      <c r="N11" s="7">
        <v>-1331</v>
      </c>
      <c r="O11" s="7">
        <v>-1839</v>
      </c>
      <c r="P11" s="7">
        <v>-1932</v>
      </c>
      <c r="Q11" s="7">
        <v>-2582</v>
      </c>
      <c r="R11" s="7">
        <v>-1114</v>
      </c>
      <c r="S11" s="7">
        <v>-1023</v>
      </c>
      <c r="T11" s="7">
        <v>-1003</v>
      </c>
      <c r="U11" s="7">
        <v>-1975</v>
      </c>
      <c r="V11" s="7">
        <v>-723.0253310999999</v>
      </c>
      <c r="W11" s="7">
        <v>-1315.1925619999997</v>
      </c>
      <c r="X11" s="7">
        <v>-1664.5721956999998</v>
      </c>
      <c r="Y11" s="20">
        <v>-3112.7107367999993</v>
      </c>
      <c r="Z11" s="20">
        <v>-1343.0547387999998</v>
      </c>
      <c r="AA11" s="7">
        <v>-1498.8006005999998</v>
      </c>
      <c r="AB11" s="7">
        <v>-2131.1426014</v>
      </c>
      <c r="AC11" s="7">
        <v>-1988.8742508</v>
      </c>
      <c r="AD11" s="7">
        <v>-1102.5087924000004</v>
      </c>
      <c r="AE11" s="7">
        <v>-1298.5331621999997</v>
      </c>
      <c r="AF11" s="7">
        <v>-664.4153858000008</v>
      </c>
      <c r="AG11" s="7">
        <v>-1292.3839224999997</v>
      </c>
    </row>
    <row r="12" spans="1:33" ht="12.75">
      <c r="A12" s="66" t="s">
        <v>8</v>
      </c>
      <c r="B12" s="66"/>
      <c r="D12" s="18" t="s">
        <v>225</v>
      </c>
      <c r="E12" s="18" t="s">
        <v>225</v>
      </c>
      <c r="F12" s="7">
        <f>-591</f>
        <v>-591</v>
      </c>
      <c r="G12" s="7">
        <f>-658</f>
        <v>-658</v>
      </c>
      <c r="H12" s="7">
        <f>-952</f>
        <v>-952</v>
      </c>
      <c r="I12" s="7">
        <f>-1691</f>
        <v>-1691</v>
      </c>
      <c r="J12" s="7">
        <f>-615</f>
        <v>-615</v>
      </c>
      <c r="K12" s="7">
        <f>-794</f>
        <v>-794</v>
      </c>
      <c r="L12" s="7">
        <f>-1135</f>
        <v>-1135</v>
      </c>
      <c r="M12" s="7">
        <f>-2106</f>
        <v>-2106</v>
      </c>
      <c r="N12" s="7">
        <v>-806</v>
      </c>
      <c r="O12" s="7">
        <v>-901</v>
      </c>
      <c r="P12" s="7">
        <v>-1404</v>
      </c>
      <c r="Q12" s="7">
        <v>-2451</v>
      </c>
      <c r="R12" s="7">
        <v>-943</v>
      </c>
      <c r="S12" s="7">
        <v>-829</v>
      </c>
      <c r="T12" s="7">
        <v>-822</v>
      </c>
      <c r="U12" s="7">
        <v>-1730</v>
      </c>
      <c r="V12" s="7">
        <v>-601.0413163</v>
      </c>
      <c r="W12" s="7">
        <v>-987.8015143000001</v>
      </c>
      <c r="X12" s="7">
        <v>-1344.0970797</v>
      </c>
      <c r="Y12" s="20">
        <v>-1913.7917356999992</v>
      </c>
      <c r="Z12" s="20">
        <v>-968.5428972</v>
      </c>
      <c r="AA12" s="7">
        <v>-1312.2715293</v>
      </c>
      <c r="AB12" s="7">
        <v>-1457.825707</v>
      </c>
      <c r="AC12" s="7">
        <v>-1910.3427256999994</v>
      </c>
      <c r="AD12" s="7">
        <v>-739.3848339</v>
      </c>
      <c r="AE12" s="7">
        <v>-843.7170209000002</v>
      </c>
      <c r="AF12" s="7">
        <v>-914.9947353999996</v>
      </c>
      <c r="AG12" s="7">
        <v>-1570.7883103000004</v>
      </c>
    </row>
    <row r="13" spans="1:33" ht="12.75">
      <c r="A13" s="66" t="s">
        <v>8</v>
      </c>
      <c r="B13" s="85" t="s">
        <v>11</v>
      </c>
      <c r="D13" s="18" t="s">
        <v>20</v>
      </c>
      <c r="E13" s="18" t="s">
        <v>20</v>
      </c>
      <c r="F13" s="7">
        <v>-3679</v>
      </c>
      <c r="G13" s="7">
        <v>2207</v>
      </c>
      <c r="H13" s="7">
        <v>1731</v>
      </c>
      <c r="I13" s="7">
        <v>1565</v>
      </c>
      <c r="J13" s="7">
        <v>-3399</v>
      </c>
      <c r="K13" s="7">
        <v>1519</v>
      </c>
      <c r="L13" s="7">
        <v>1352</v>
      </c>
      <c r="M13" s="7">
        <v>2069</v>
      </c>
      <c r="N13" s="7">
        <v>-3467</v>
      </c>
      <c r="O13" s="7">
        <v>-416</v>
      </c>
      <c r="P13" s="7">
        <v>2174</v>
      </c>
      <c r="Q13" s="7">
        <v>2461</v>
      </c>
      <c r="R13" s="7">
        <v>-3278</v>
      </c>
      <c r="S13" s="7">
        <v>-142</v>
      </c>
      <c r="T13" s="7">
        <v>5605</v>
      </c>
      <c r="U13" s="7">
        <v>4632</v>
      </c>
      <c r="V13" s="7">
        <v>-506.0172352000108</v>
      </c>
      <c r="W13" s="7">
        <v>747.929323000036</v>
      </c>
      <c r="X13" s="7">
        <v>-452.0156910000119</v>
      </c>
      <c r="Y13" s="20">
        <v>453.940166500029</v>
      </c>
      <c r="Z13" s="20">
        <v>-5850.883506199975</v>
      </c>
      <c r="AA13" s="7">
        <v>-251.64973020000843</v>
      </c>
      <c r="AB13" s="7">
        <v>-2627.8832323000147</v>
      </c>
      <c r="AC13" s="7">
        <v>-505.44405400005076</v>
      </c>
      <c r="AD13" s="7">
        <v>-5648.304978500002</v>
      </c>
      <c r="AE13" s="7">
        <v>2246.003033400012</v>
      </c>
      <c r="AF13" s="7">
        <v>480.4508559999897</v>
      </c>
      <c r="AG13" s="7">
        <v>2567.0101722000313</v>
      </c>
    </row>
    <row r="14" spans="1:33" ht="12.75">
      <c r="A14" s="66" t="s">
        <v>8</v>
      </c>
      <c r="B14" s="85" t="s">
        <v>11</v>
      </c>
      <c r="D14" s="18" t="s">
        <v>122</v>
      </c>
      <c r="E14" s="18" t="s">
        <v>122</v>
      </c>
      <c r="F14" s="7">
        <f>-1078</f>
        <v>-1078</v>
      </c>
      <c r="G14" s="7">
        <f>0</f>
        <v>0</v>
      </c>
      <c r="H14" s="7">
        <v>0</v>
      </c>
      <c r="I14" s="7">
        <f>-1077</f>
        <v>-1077</v>
      </c>
      <c r="J14" s="7">
        <v>0</v>
      </c>
      <c r="K14" s="7">
        <f>-1193</f>
        <v>-1193</v>
      </c>
      <c r="L14" s="7">
        <v>0</v>
      </c>
      <c r="M14" s="7">
        <f>-1193</f>
        <v>-1193</v>
      </c>
      <c r="N14" s="7">
        <v>0</v>
      </c>
      <c r="O14" s="7">
        <v>-1221</v>
      </c>
      <c r="P14" s="7">
        <v>0</v>
      </c>
      <c r="Q14" s="7">
        <v>-1221</v>
      </c>
      <c r="R14" s="7">
        <v>0</v>
      </c>
      <c r="S14" s="7">
        <v>0</v>
      </c>
      <c r="T14" s="7">
        <v>0</v>
      </c>
      <c r="U14" s="7">
        <v>-2012</v>
      </c>
      <c r="V14" s="7">
        <v>-0.0019999999999527063</v>
      </c>
      <c r="W14" s="7">
        <v>-1149.5880015</v>
      </c>
      <c r="X14" s="7">
        <v>0.004399000000375963</v>
      </c>
      <c r="Y14" s="20">
        <v>-6929.356370400001</v>
      </c>
      <c r="Z14" s="20">
        <v>-1000</v>
      </c>
      <c r="AA14" s="7">
        <v>-1818</v>
      </c>
      <c r="AB14" s="7">
        <v>-599</v>
      </c>
      <c r="AC14" s="7">
        <v>-1242</v>
      </c>
      <c r="AD14" s="7">
        <v>0</v>
      </c>
      <c r="AE14" s="7">
        <v>0</v>
      </c>
      <c r="AF14" s="7">
        <v>0</v>
      </c>
      <c r="AG14" s="7">
        <v>0</v>
      </c>
    </row>
    <row r="15" spans="1:33" s="17" customFormat="1" ht="15" customHeight="1">
      <c r="A15" s="66" t="s">
        <v>8</v>
      </c>
      <c r="B15" s="85" t="s">
        <v>11</v>
      </c>
      <c r="C15" s="16" t="s">
        <v>168</v>
      </c>
      <c r="D15" s="18" t="s">
        <v>226</v>
      </c>
      <c r="E15" s="18" t="s">
        <v>226</v>
      </c>
      <c r="F15" s="9">
        <f>-591/28201*100*-1</f>
        <v>2.0956703662990672</v>
      </c>
      <c r="G15" s="9">
        <f>-658/30948*100*-1</f>
        <v>2.126147085433631</v>
      </c>
      <c r="H15" s="9">
        <f>-952/29042*100*-1</f>
        <v>3.2780111562564564</v>
      </c>
      <c r="I15" s="9">
        <f>-1691/32580*100*-1</f>
        <v>5.190300798035604</v>
      </c>
      <c r="J15" s="9">
        <f>-615/27906*100*-1</f>
        <v>2.203827133949688</v>
      </c>
      <c r="K15" s="9">
        <f>-794/31354*100*-1</f>
        <v>2.5323722651017415</v>
      </c>
      <c r="L15" s="9">
        <f>-1135/30444*100*-1</f>
        <v>3.7281566154250427</v>
      </c>
      <c r="M15" s="9">
        <f>-2106/34425*100*-1</f>
        <v>6.11764705882353</v>
      </c>
      <c r="N15" s="9">
        <f>-806/29710*100*-1</f>
        <v>2.7128912823964995</v>
      </c>
      <c r="O15" s="9">
        <v>2.8434373717928487</v>
      </c>
      <c r="P15" s="9">
        <v>4.629080118694362</v>
      </c>
      <c r="Q15" s="9">
        <v>7.656742994595608</v>
      </c>
      <c r="R15" s="9">
        <v>3.548047257129957</v>
      </c>
      <c r="S15" s="9">
        <v>3.531265973760436</v>
      </c>
      <c r="T15" s="9">
        <v>2.5684289463817023</v>
      </c>
      <c r="U15" s="9">
        <v>5.102943779128076</v>
      </c>
      <c r="V15" s="9">
        <v>2.1</v>
      </c>
      <c r="W15" s="9">
        <v>3.3</v>
      </c>
      <c r="X15" s="9">
        <v>4.3</v>
      </c>
      <c r="Y15" s="239">
        <v>5.4</v>
      </c>
      <c r="Z15" s="239">
        <v>3.2</v>
      </c>
      <c r="AA15" s="9">
        <v>3.9</v>
      </c>
      <c r="AB15" s="9">
        <v>4.1</v>
      </c>
      <c r="AC15" s="9">
        <v>5.3</v>
      </c>
      <c r="AD15" s="9">
        <v>2.3</v>
      </c>
      <c r="AE15" s="9">
        <v>2.6</v>
      </c>
      <c r="AF15" s="9">
        <v>2.7</v>
      </c>
      <c r="AG15" s="9">
        <v>4.4</v>
      </c>
    </row>
    <row r="16" spans="1:25" ht="12.75">
      <c r="A16" s="66" t="s">
        <v>10</v>
      </c>
      <c r="V16" s="21"/>
      <c r="X16" s="21"/>
      <c r="Y16" s="20"/>
    </row>
    <row r="17" spans="1:25" ht="12.75">
      <c r="A17" s="66" t="s">
        <v>16</v>
      </c>
      <c r="D17" s="18" t="s">
        <v>585</v>
      </c>
      <c r="E17" s="18" t="s">
        <v>643</v>
      </c>
      <c r="V17" s="20"/>
      <c r="X17" s="20"/>
      <c r="Y17" s="20"/>
    </row>
    <row r="18" spans="1:25" ht="12.75">
      <c r="A18" s="66" t="s">
        <v>10</v>
      </c>
      <c r="V18" s="20"/>
      <c r="X18" s="20"/>
      <c r="Y18" s="20"/>
    </row>
    <row r="19" spans="1:11" ht="78.75">
      <c r="A19" s="66" t="s">
        <v>615</v>
      </c>
      <c r="E19" s="61" t="s">
        <v>616</v>
      </c>
      <c r="F19" s="55"/>
      <c r="G19" s="55"/>
      <c r="H19" s="55"/>
      <c r="I19" s="55"/>
      <c r="J19" s="55"/>
      <c r="K19" s="55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&amp;L&amp;D/&amp;F</oddHeader>
    <oddFooter>&amp;L&amp;"Calibri"&amp;11&amp;K000000&amp;"Calibri"&amp;11&amp;K000000
&amp;1#&amp;"Calibri"&amp;8&amp;K000000 Classified as Internal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C19"/>
  <sheetViews>
    <sheetView zoomScale="90" zoomScaleNormal="90" zoomScaleSheetLayoutView="90" zoomScalePageLayoutView="0" workbookViewId="0" topLeftCell="B3">
      <selection activeCell="AC10" sqref="AC10"/>
    </sheetView>
  </sheetViews>
  <sheetFormatPr defaultColWidth="9.140625" defaultRowHeight="12.75"/>
  <cols>
    <col min="1" max="1" width="11.28125" style="66" bestFit="1" customWidth="1"/>
    <col min="2" max="2" width="12.28125" style="0" customWidth="1"/>
    <col min="3" max="3" width="11.28125" style="0" customWidth="1"/>
    <col min="4" max="4" width="31.00390625" style="0" hidden="1" customWidth="1"/>
    <col min="5" max="5" width="39.00390625" style="0" customWidth="1"/>
    <col min="6" max="10" width="0" style="0" hidden="1" customWidth="1"/>
  </cols>
  <sheetData>
    <row r="1" spans="1:5" ht="17.25">
      <c r="A1" s="68">
        <v>44377</v>
      </c>
      <c r="B1" s="32" t="s">
        <v>26</v>
      </c>
      <c r="C1" s="33"/>
      <c r="D1" s="34" t="str">
        <f>Company</f>
        <v>AB Electrolux</v>
      </c>
      <c r="E1" s="34" t="str">
        <f>Company</f>
        <v>AB Electrolux</v>
      </c>
    </row>
    <row r="2" spans="1:5" ht="12.75">
      <c r="A2" s="69"/>
      <c r="B2" s="32" t="s">
        <v>28</v>
      </c>
      <c r="C2" s="33"/>
      <c r="D2" s="35">
        <f>A1</f>
        <v>44377</v>
      </c>
      <c r="E2" s="36">
        <f>+A1</f>
        <v>44377</v>
      </c>
    </row>
    <row r="3" spans="1:5" ht="12.75">
      <c r="A3" s="69"/>
      <c r="B3" s="32" t="s">
        <v>29</v>
      </c>
      <c r="C3" s="33" t="s">
        <v>30</v>
      </c>
      <c r="D3" s="37" t="s">
        <v>31</v>
      </c>
      <c r="E3" s="37" t="s">
        <v>32</v>
      </c>
    </row>
    <row r="4" spans="1:5" ht="12.75">
      <c r="A4" s="66" t="s">
        <v>6</v>
      </c>
      <c r="B4" s="32" t="s">
        <v>33</v>
      </c>
      <c r="C4" s="16"/>
      <c r="D4" s="52" t="s">
        <v>201</v>
      </c>
      <c r="E4" s="52" t="s">
        <v>201</v>
      </c>
    </row>
    <row r="5" spans="2:17" ht="12.75">
      <c r="B5" s="32" t="s">
        <v>35</v>
      </c>
      <c r="C5" s="38" t="s">
        <v>139</v>
      </c>
      <c r="D5" s="43"/>
      <c r="E5" s="43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</row>
    <row r="6" spans="1:29" ht="15">
      <c r="A6" s="67" t="s">
        <v>7</v>
      </c>
      <c r="B6" s="41" t="s">
        <v>34</v>
      </c>
      <c r="C6" s="38" t="s">
        <v>139</v>
      </c>
      <c r="D6" s="50" t="s">
        <v>138</v>
      </c>
      <c r="E6" s="50" t="s">
        <v>138</v>
      </c>
      <c r="F6" s="30" t="s">
        <v>554</v>
      </c>
      <c r="G6" s="30" t="s">
        <v>555</v>
      </c>
      <c r="H6" s="30" t="s">
        <v>556</v>
      </c>
      <c r="I6" s="30" t="s">
        <v>557</v>
      </c>
      <c r="J6" s="30" t="s">
        <v>230</v>
      </c>
      <c r="K6" s="30" t="s">
        <v>574</v>
      </c>
      <c r="L6" s="30" t="s">
        <v>575</v>
      </c>
      <c r="M6" s="30" t="s">
        <v>601</v>
      </c>
      <c r="N6" s="30" t="s">
        <v>617</v>
      </c>
      <c r="O6" s="30" t="s">
        <v>618</v>
      </c>
      <c r="P6" s="30" t="s">
        <v>620</v>
      </c>
      <c r="Q6" s="30" t="s">
        <v>621</v>
      </c>
      <c r="R6" s="30" t="s">
        <v>625</v>
      </c>
      <c r="S6" s="30" t="s">
        <v>634</v>
      </c>
      <c r="T6" s="30" t="s">
        <v>635</v>
      </c>
      <c r="U6" s="44" t="s">
        <v>636</v>
      </c>
      <c r="V6" s="44" t="s">
        <v>638</v>
      </c>
      <c r="W6" s="44" t="s">
        <v>639</v>
      </c>
      <c r="X6" s="44" t="s">
        <v>644</v>
      </c>
      <c r="Y6" s="44" t="s">
        <v>645</v>
      </c>
      <c r="Z6" s="44" t="s">
        <v>653</v>
      </c>
      <c r="AA6" s="44" t="s">
        <v>654</v>
      </c>
      <c r="AB6" s="44" t="s">
        <v>655</v>
      </c>
      <c r="AC6" s="44" t="s">
        <v>656</v>
      </c>
    </row>
    <row r="7" spans="1:5" s="13" customFormat="1" ht="12.75">
      <c r="A7" s="65" t="s">
        <v>177</v>
      </c>
      <c r="B7" s="65"/>
      <c r="C7" s="65"/>
      <c r="D7" s="13" t="s">
        <v>3</v>
      </c>
      <c r="E7" s="13" t="s">
        <v>3</v>
      </c>
    </row>
    <row r="8" spans="1:29" ht="12.75">
      <c r="A8" s="66" t="s">
        <v>8</v>
      </c>
      <c r="B8" s="85" t="s">
        <v>11</v>
      </c>
      <c r="C8" s="66"/>
      <c r="D8" s="18" t="s">
        <v>116</v>
      </c>
      <c r="E8" s="18" t="s">
        <v>116</v>
      </c>
      <c r="F8" s="1">
        <v>4247</v>
      </c>
      <c r="G8" s="1">
        <v>4518</v>
      </c>
      <c r="H8" s="1">
        <v>3845</v>
      </c>
      <c r="I8" s="1">
        <v>5353</v>
      </c>
      <c r="J8" s="1">
        <v>4312</v>
      </c>
      <c r="K8" s="1">
        <v>4816</v>
      </c>
      <c r="L8" s="1">
        <v>4613</v>
      </c>
      <c r="M8" s="1">
        <v>5913</v>
      </c>
      <c r="N8" s="1">
        <v>3826</v>
      </c>
      <c r="O8" s="1">
        <v>2822</v>
      </c>
      <c r="P8" s="1">
        <v>4779</v>
      </c>
      <c r="Q8" s="1">
        <v>5488</v>
      </c>
      <c r="R8" s="1">
        <v>4516.1958329</v>
      </c>
      <c r="S8" s="1">
        <v>4781.559103800002</v>
      </c>
      <c r="T8" s="1">
        <v>4910.379357099997</v>
      </c>
      <c r="U8" s="1">
        <v>5750.3330855</v>
      </c>
      <c r="V8" s="1">
        <v>4761.361341100001</v>
      </c>
      <c r="W8" s="1">
        <v>6268.2195271</v>
      </c>
      <c r="X8" s="1">
        <v>6518.3811336</v>
      </c>
      <c r="Y8" s="1">
        <v>6754.608368100002</v>
      </c>
      <c r="Z8" s="1">
        <v>6196.1492793</v>
      </c>
      <c r="AA8" s="1">
        <v>6915.0015721</v>
      </c>
      <c r="AB8" s="1">
        <v>7193.0967457</v>
      </c>
      <c r="AC8" s="1">
        <v>8616.2087608</v>
      </c>
    </row>
    <row r="9" spans="1:29" ht="12.75">
      <c r="A9" s="66" t="s">
        <v>8</v>
      </c>
      <c r="B9" s="85" t="s">
        <v>11</v>
      </c>
      <c r="C9" s="66" t="s">
        <v>168</v>
      </c>
      <c r="D9" s="18" t="s">
        <v>172</v>
      </c>
      <c r="E9" s="18" t="s">
        <v>172</v>
      </c>
      <c r="F9" s="2">
        <v>5.9</v>
      </c>
      <c r="G9" s="2">
        <v>19.5</v>
      </c>
      <c r="H9" s="2">
        <v>0.4</v>
      </c>
      <c r="I9" s="2">
        <v>11.8</v>
      </c>
      <c r="J9" s="2">
        <v>6.9</v>
      </c>
      <c r="K9" s="2">
        <v>8.3</v>
      </c>
      <c r="L9" s="2">
        <v>14.2</v>
      </c>
      <c r="M9" s="2">
        <v>13.9</v>
      </c>
      <c r="N9" s="2">
        <v>-1.9</v>
      </c>
      <c r="O9" s="2">
        <v>-24.2</v>
      </c>
      <c r="P9" s="2">
        <v>37.8</v>
      </c>
      <c r="Q9" s="2">
        <v>25.4018354</v>
      </c>
      <c r="R9" s="2">
        <v>58.32962</v>
      </c>
      <c r="S9" s="2">
        <v>90.3559</v>
      </c>
      <c r="T9" s="2">
        <v>10.905092</v>
      </c>
      <c r="U9" s="2">
        <v>11.859747616563808</v>
      </c>
      <c r="V9" s="2">
        <v>-6.0046467</v>
      </c>
      <c r="W9" s="2">
        <v>12.886944660681166</v>
      </c>
      <c r="X9" s="2">
        <v>13.527</v>
      </c>
      <c r="Y9" s="2">
        <v>-1.6424222780468734</v>
      </c>
      <c r="Z9" s="2">
        <v>20.92</v>
      </c>
      <c r="AA9" s="2">
        <v>5.575234333052093</v>
      </c>
      <c r="AB9" s="2">
        <v>7.56</v>
      </c>
      <c r="AC9" s="2">
        <v>29.44</v>
      </c>
    </row>
    <row r="10" spans="1:29" ht="12.75">
      <c r="A10" s="66" t="s">
        <v>8</v>
      </c>
      <c r="B10" s="85" t="s">
        <v>11</v>
      </c>
      <c r="C10" s="66" t="s">
        <v>168</v>
      </c>
      <c r="D10" s="18" t="s">
        <v>559</v>
      </c>
      <c r="E10" s="18" t="s">
        <v>559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</row>
    <row r="11" spans="1:29" ht="12.75">
      <c r="A11" s="66" t="s">
        <v>8</v>
      </c>
      <c r="B11" s="85" t="s">
        <v>11</v>
      </c>
      <c r="C11" s="66"/>
      <c r="D11" s="18" t="s">
        <v>118</v>
      </c>
      <c r="E11" s="18" t="s">
        <v>118</v>
      </c>
      <c r="F11" s="1">
        <v>35</v>
      </c>
      <c r="G11" s="1">
        <v>-38</v>
      </c>
      <c r="H11" s="1">
        <v>205</v>
      </c>
      <c r="I11" s="1">
        <v>290</v>
      </c>
      <c r="J11" s="1">
        <v>-223</v>
      </c>
      <c r="K11" s="1">
        <v>164</v>
      </c>
      <c r="L11" s="1">
        <v>1539</v>
      </c>
      <c r="M11" s="1">
        <v>340</v>
      </c>
      <c r="N11" s="1">
        <v>-15</v>
      </c>
      <c r="O11" s="1">
        <v>-183</v>
      </c>
      <c r="P11" s="1">
        <v>440</v>
      </c>
      <c r="Q11" s="1">
        <v>424</v>
      </c>
      <c r="R11" s="1">
        <v>423.05021190000036</v>
      </c>
      <c r="S11" s="1">
        <v>326.91873560000136</v>
      </c>
      <c r="T11" s="1">
        <v>386.7458104999975</v>
      </c>
      <c r="U11" s="1">
        <v>199.55528170000053</v>
      </c>
      <c r="V11" s="1">
        <v>85.45433610000075</v>
      </c>
      <c r="W11" s="1">
        <v>302.9993541999994</v>
      </c>
      <c r="X11" s="1">
        <v>440.4471200999998</v>
      </c>
      <c r="Y11" s="1">
        <v>229.38484680000343</v>
      </c>
      <c r="Z11" s="1">
        <v>236.26294980000083</v>
      </c>
      <c r="AA11" s="1">
        <v>333.25323129999947</v>
      </c>
      <c r="AB11" s="1">
        <v>405.3322448000032</v>
      </c>
      <c r="AC11" s="1">
        <v>649.096952100001</v>
      </c>
    </row>
    <row r="12" spans="1:29" ht="12.75">
      <c r="A12" s="66" t="s">
        <v>8</v>
      </c>
      <c r="B12" s="85" t="s">
        <v>11</v>
      </c>
      <c r="C12" s="66" t="s">
        <v>168</v>
      </c>
      <c r="D12" s="18" t="s">
        <v>169</v>
      </c>
      <c r="E12" s="18" t="s">
        <v>169</v>
      </c>
      <c r="F12" s="2">
        <v>0.8</v>
      </c>
      <c r="G12" s="2">
        <v>-0.8</v>
      </c>
      <c r="H12" s="2">
        <v>5.3</v>
      </c>
      <c r="I12" s="2">
        <v>5.4</v>
      </c>
      <c r="J12" s="2">
        <v>-5.2</v>
      </c>
      <c r="K12" s="2">
        <v>3.4</v>
      </c>
      <c r="L12" s="2">
        <v>33.36223715586386</v>
      </c>
      <c r="M12" s="2">
        <v>5.750042279722645</v>
      </c>
      <c r="N12" s="2">
        <v>-0.4</v>
      </c>
      <c r="O12" s="2">
        <v>-6.5</v>
      </c>
      <c r="P12" s="2">
        <v>9.2</v>
      </c>
      <c r="Q12" s="2">
        <v>7.725947521865889</v>
      </c>
      <c r="R12" s="2">
        <v>9.367401847770298</v>
      </c>
      <c r="S12" s="2">
        <v>6.83707402759473</v>
      </c>
      <c r="T12" s="2">
        <v>7.876088228107955</v>
      </c>
      <c r="U12" s="2">
        <v>3.470325609540732</v>
      </c>
      <c r="V12" s="2">
        <v>1.794745871571636</v>
      </c>
      <c r="W12" s="2">
        <v>4.833898252765607</v>
      </c>
      <c r="X12" s="2">
        <v>6.75700164001839</v>
      </c>
      <c r="Y12" s="2">
        <v>3.3959755221829573</v>
      </c>
      <c r="Z12" s="2">
        <v>3.813060969807559</v>
      </c>
      <c r="AA12" s="2">
        <v>4.819279183457883</v>
      </c>
      <c r="AB12" s="2">
        <v>5.635017282956815</v>
      </c>
      <c r="AC12" s="2">
        <v>7.533440404242624</v>
      </c>
    </row>
    <row r="13" spans="1:29" ht="15">
      <c r="A13" s="66" t="s">
        <v>8</v>
      </c>
      <c r="B13" s="85" t="s">
        <v>11</v>
      </c>
      <c r="C13" s="66"/>
      <c r="D13" s="18" t="s">
        <v>222</v>
      </c>
      <c r="E13" s="18" t="s">
        <v>222</v>
      </c>
      <c r="F13" s="1">
        <v>35</v>
      </c>
      <c r="G13" s="1">
        <v>-38</v>
      </c>
      <c r="H13" s="1">
        <v>205</v>
      </c>
      <c r="I13" s="1">
        <v>290</v>
      </c>
      <c r="J13" s="1">
        <v>2</v>
      </c>
      <c r="K13" s="1">
        <v>164</v>
      </c>
      <c r="L13" s="1">
        <v>213</v>
      </c>
      <c r="M13" s="1">
        <v>340</v>
      </c>
      <c r="N13" s="1">
        <v>-15</v>
      </c>
      <c r="O13" s="1">
        <v>-183</v>
      </c>
      <c r="P13" s="1">
        <v>440</v>
      </c>
      <c r="Q13" s="1">
        <v>424</v>
      </c>
      <c r="R13" s="1">
        <v>423.05021190000036</v>
      </c>
      <c r="S13" s="1">
        <v>326.91873560000136</v>
      </c>
      <c r="T13" s="1">
        <v>386.7458104999975</v>
      </c>
      <c r="U13" s="1">
        <v>199.55528170000053</v>
      </c>
      <c r="V13" s="1">
        <v>85.45433610000075</v>
      </c>
      <c r="W13" s="1">
        <v>302.9993541999994</v>
      </c>
      <c r="X13" s="1">
        <v>440.4471200999998</v>
      </c>
      <c r="Y13" s="1">
        <v>309.3848468000034</v>
      </c>
      <c r="Z13" s="1">
        <v>236.26294980000083</v>
      </c>
      <c r="AA13" s="1">
        <v>333.25323129999947</v>
      </c>
      <c r="AB13" s="1">
        <v>405.3322448000032</v>
      </c>
      <c r="AC13" s="1">
        <v>700.017952100001</v>
      </c>
    </row>
    <row r="14" spans="1:29" ht="15">
      <c r="A14" s="66" t="s">
        <v>8</v>
      </c>
      <c r="B14" s="214" t="s">
        <v>237</v>
      </c>
      <c r="C14" s="66" t="s">
        <v>168</v>
      </c>
      <c r="D14" s="86" t="s">
        <v>223</v>
      </c>
      <c r="E14" s="86" t="s">
        <v>223</v>
      </c>
      <c r="F14" s="2">
        <v>0.8</v>
      </c>
      <c r="G14" s="2">
        <v>-0.8</v>
      </c>
      <c r="H14" s="2">
        <v>5.3</v>
      </c>
      <c r="I14" s="2">
        <v>5.4</v>
      </c>
      <c r="J14" s="2">
        <v>0.1</v>
      </c>
      <c r="K14" s="2">
        <v>3.4</v>
      </c>
      <c r="L14" s="2">
        <v>4.617385649252113</v>
      </c>
      <c r="M14" s="2">
        <v>5.750042279722645</v>
      </c>
      <c r="N14" s="2">
        <v>-0.4</v>
      </c>
      <c r="O14" s="2">
        <v>-6.5</v>
      </c>
      <c r="P14" s="2">
        <v>9.2</v>
      </c>
      <c r="Q14" s="2">
        <v>7.725947521865889</v>
      </c>
      <c r="R14" s="2">
        <v>9.367401847770312</v>
      </c>
      <c r="S14" s="2">
        <v>6.837074027594732</v>
      </c>
      <c r="T14" s="2">
        <v>7.876088228107987</v>
      </c>
      <c r="U14" s="2">
        <v>3.4703256095407364</v>
      </c>
      <c r="V14" s="2">
        <v>1.7947458715716484</v>
      </c>
      <c r="W14" s="2">
        <v>4.833898252765605</v>
      </c>
      <c r="X14" s="2">
        <v>6.757001640018366</v>
      </c>
      <c r="Y14" s="2">
        <v>4.580352108364056</v>
      </c>
      <c r="Z14" s="2">
        <v>3.813060969807562</v>
      </c>
      <c r="AA14" s="2">
        <v>4.8192791834578665</v>
      </c>
      <c r="AB14" s="2">
        <v>5.63501728295687</v>
      </c>
      <c r="AC14" s="2">
        <v>8.124431191648677</v>
      </c>
    </row>
    <row r="15" spans="1:3" ht="12.75">
      <c r="A15" s="66" t="s">
        <v>10</v>
      </c>
      <c r="B15" s="66"/>
      <c r="C15" s="66"/>
    </row>
    <row r="16" spans="1:5" ht="12.75">
      <c r="A16" s="66" t="s">
        <v>16</v>
      </c>
      <c r="D16" s="18" t="s">
        <v>209</v>
      </c>
      <c r="E16" s="18" t="s">
        <v>209</v>
      </c>
    </row>
    <row r="17" spans="1:5" ht="12.75">
      <c r="A17" s="66" t="s">
        <v>16</v>
      </c>
      <c r="D17" s="16" t="s">
        <v>553</v>
      </c>
      <c r="E17" s="16" t="s">
        <v>553</v>
      </c>
    </row>
    <row r="18" spans="1:5" ht="12.75">
      <c r="A18" s="66" t="s">
        <v>10</v>
      </c>
      <c r="B18" s="16"/>
      <c r="C18" s="16"/>
      <c r="D18" s="16"/>
      <c r="E18" s="16"/>
    </row>
    <row r="19" spans="1:17" s="16" customFormat="1" ht="144.75">
      <c r="A19" s="66" t="s">
        <v>615</v>
      </c>
      <c r="E19" s="61" t="s">
        <v>616</v>
      </c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7" r:id="rId1"/>
  <headerFooter alignWithMargins="0">
    <oddHeader>&amp;L&amp;D/&amp;F</oddHeader>
    <oddFooter>&amp;L&amp;"Calibri"&amp;11&amp;K000000&amp;"Calibri"&amp;11&amp;K000000
&amp;1#&amp;"Calibri"&amp;8&amp;K000000 Classified as Internal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C24"/>
  <sheetViews>
    <sheetView zoomScaleSheetLayoutView="80" zoomScalePageLayoutView="0" workbookViewId="0" topLeftCell="L1">
      <selection activeCell="AB6" sqref="AB6:AC14"/>
    </sheetView>
  </sheetViews>
  <sheetFormatPr defaultColWidth="9.140625" defaultRowHeight="12.75"/>
  <cols>
    <col min="1" max="1" width="11.28125" style="66" bestFit="1" customWidth="1"/>
    <col min="2" max="2" width="12.28125" style="0" bestFit="1" customWidth="1"/>
    <col min="3" max="3" width="11.28125" style="0" bestFit="1" customWidth="1"/>
    <col min="4" max="4" width="46.28125" style="0" hidden="1" customWidth="1"/>
    <col min="5" max="5" width="38.7109375" style="0" customWidth="1"/>
    <col min="6" max="10" width="0" style="0" hidden="1" customWidth="1"/>
  </cols>
  <sheetData>
    <row r="1" spans="1:5" ht="17.25">
      <c r="A1" s="68">
        <v>44377</v>
      </c>
      <c r="B1" s="32" t="s">
        <v>26</v>
      </c>
      <c r="C1" s="33"/>
      <c r="D1" s="34" t="str">
        <f>Company</f>
        <v>AB Electrolux</v>
      </c>
      <c r="E1" s="34" t="str">
        <f>Company</f>
        <v>AB Electrolux</v>
      </c>
    </row>
    <row r="2" spans="1:5" ht="12.75">
      <c r="A2" s="69"/>
      <c r="B2" s="32" t="s">
        <v>28</v>
      </c>
      <c r="C2" s="33"/>
      <c r="D2" s="35">
        <f>A1</f>
        <v>44377</v>
      </c>
      <c r="E2" s="36">
        <f>+A1</f>
        <v>44377</v>
      </c>
    </row>
    <row r="3" spans="1:5" ht="12.75">
      <c r="A3" s="69"/>
      <c r="B3" s="32" t="s">
        <v>29</v>
      </c>
      <c r="C3" s="33" t="s">
        <v>30</v>
      </c>
      <c r="D3" s="37" t="s">
        <v>31</v>
      </c>
      <c r="E3" s="37" t="s">
        <v>32</v>
      </c>
    </row>
    <row r="4" spans="1:5" ht="12.75">
      <c r="A4" s="66" t="s">
        <v>6</v>
      </c>
      <c r="B4" s="32" t="s">
        <v>33</v>
      </c>
      <c r="C4" s="16"/>
      <c r="D4" s="52" t="s">
        <v>199</v>
      </c>
      <c r="E4" s="52" t="s">
        <v>199</v>
      </c>
    </row>
    <row r="5" spans="2:17" ht="12.75">
      <c r="B5" s="32" t="s">
        <v>35</v>
      </c>
      <c r="C5" s="38" t="s">
        <v>139</v>
      </c>
      <c r="D5" s="43"/>
      <c r="E5" s="43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</row>
    <row r="6" spans="1:29" ht="15">
      <c r="A6" s="67" t="s">
        <v>7</v>
      </c>
      <c r="B6" s="41" t="s">
        <v>34</v>
      </c>
      <c r="C6" s="38" t="s">
        <v>139</v>
      </c>
      <c r="D6" s="50" t="s">
        <v>138</v>
      </c>
      <c r="E6" s="50" t="s">
        <v>138</v>
      </c>
      <c r="F6" s="30" t="s">
        <v>554</v>
      </c>
      <c r="G6" s="30" t="s">
        <v>555</v>
      </c>
      <c r="H6" s="30" t="s">
        <v>556</v>
      </c>
      <c r="I6" s="30" t="s">
        <v>557</v>
      </c>
      <c r="J6" s="30" t="s">
        <v>230</v>
      </c>
      <c r="K6" s="30" t="s">
        <v>574</v>
      </c>
      <c r="L6" s="30" t="s">
        <v>575</v>
      </c>
      <c r="M6" s="30" t="s">
        <v>601</v>
      </c>
      <c r="N6" s="30" t="s">
        <v>617</v>
      </c>
      <c r="O6" s="30" t="s">
        <v>618</v>
      </c>
      <c r="P6" s="30" t="s">
        <v>620</v>
      </c>
      <c r="Q6" s="30" t="s">
        <v>621</v>
      </c>
      <c r="R6" s="30" t="s">
        <v>625</v>
      </c>
      <c r="S6" s="30" t="s">
        <v>634</v>
      </c>
      <c r="T6" s="30" t="s">
        <v>635</v>
      </c>
      <c r="U6" s="44" t="s">
        <v>636</v>
      </c>
      <c r="V6" s="44" t="s">
        <v>638</v>
      </c>
      <c r="W6" s="44" t="s">
        <v>639</v>
      </c>
      <c r="X6" s="44" t="s">
        <v>644</v>
      </c>
      <c r="Y6" s="44" t="s">
        <v>645</v>
      </c>
      <c r="Z6" s="44" t="s">
        <v>653</v>
      </c>
      <c r="AA6" s="44" t="s">
        <v>654</v>
      </c>
      <c r="AB6" s="44" t="s">
        <v>655</v>
      </c>
      <c r="AC6" s="44" t="s">
        <v>656</v>
      </c>
    </row>
    <row r="7" spans="1:5" s="13" customFormat="1" ht="12.75">
      <c r="A7" s="65" t="s">
        <v>177</v>
      </c>
      <c r="B7" s="65"/>
      <c r="C7" s="65"/>
      <c r="D7" s="13" t="s">
        <v>3</v>
      </c>
      <c r="E7" s="13" t="s">
        <v>3</v>
      </c>
    </row>
    <row r="8" spans="1:29" ht="12.75">
      <c r="A8" s="66" t="s">
        <v>8</v>
      </c>
      <c r="B8" s="85" t="s">
        <v>11</v>
      </c>
      <c r="C8" s="66"/>
      <c r="D8" s="18" t="s">
        <v>116</v>
      </c>
      <c r="E8" s="18" t="s">
        <v>116</v>
      </c>
      <c r="F8" s="1">
        <v>9760</v>
      </c>
      <c r="G8" s="1">
        <v>10138</v>
      </c>
      <c r="H8" s="1">
        <v>10885</v>
      </c>
      <c r="I8" s="1">
        <v>12539</v>
      </c>
      <c r="J8" s="1">
        <v>10553</v>
      </c>
      <c r="K8" s="1">
        <v>10479</v>
      </c>
      <c r="L8" s="1">
        <v>11036</v>
      </c>
      <c r="M8" s="1">
        <v>13352</v>
      </c>
      <c r="N8" s="1">
        <v>10908</v>
      </c>
      <c r="O8" s="1">
        <v>8888</v>
      </c>
      <c r="P8" s="1">
        <v>12317</v>
      </c>
      <c r="Q8" s="1">
        <v>13925</v>
      </c>
      <c r="R8" s="1">
        <v>11636.528885</v>
      </c>
      <c r="S8" s="1">
        <v>11720.9253383</v>
      </c>
      <c r="T8" s="1">
        <v>11904.957916599993</v>
      </c>
      <c r="U8" s="1">
        <v>14122.005818800018</v>
      </c>
      <c r="V8" s="1">
        <v>11535.076583099999</v>
      </c>
      <c r="W8" s="1">
        <v>11344.511087900002</v>
      </c>
      <c r="X8" s="1">
        <v>11107.0077847</v>
      </c>
      <c r="Y8" s="1">
        <v>12586.43957770001</v>
      </c>
      <c r="Z8" s="1">
        <v>11339.437924499998</v>
      </c>
      <c r="AA8" s="1">
        <v>10791.055448700004</v>
      </c>
      <c r="AB8" s="1">
        <v>10618.030740099992</v>
      </c>
      <c r="AC8" s="1">
        <v>12600.615537500002</v>
      </c>
    </row>
    <row r="9" spans="1:29" ht="12.75">
      <c r="A9" s="66" t="s">
        <v>8</v>
      </c>
      <c r="B9" s="85" t="s">
        <v>11</v>
      </c>
      <c r="C9" s="66" t="s">
        <v>168</v>
      </c>
      <c r="D9" s="18" t="s">
        <v>172</v>
      </c>
      <c r="E9" s="18" t="s">
        <v>172</v>
      </c>
      <c r="F9" s="2">
        <v>6.8</v>
      </c>
      <c r="G9" s="2">
        <v>4.1</v>
      </c>
      <c r="H9" s="2">
        <v>4.8</v>
      </c>
      <c r="I9" s="2">
        <v>3.6</v>
      </c>
      <c r="J9" s="2">
        <v>4.4</v>
      </c>
      <c r="K9" s="2">
        <v>0.8</v>
      </c>
      <c r="L9" s="2">
        <v>-1.8</v>
      </c>
      <c r="M9" s="2">
        <v>3.3</v>
      </c>
      <c r="N9" s="2">
        <v>0.3</v>
      </c>
      <c r="O9" s="2">
        <v>-14.2</v>
      </c>
      <c r="P9" s="2">
        <v>15.7</v>
      </c>
      <c r="Q9" s="2">
        <v>9.284448</v>
      </c>
      <c r="R9" s="2">
        <v>14.1117</v>
      </c>
      <c r="S9" s="2">
        <v>37.335218</v>
      </c>
      <c r="T9" s="2">
        <v>-1.350949</v>
      </c>
      <c r="U9" s="2">
        <v>1.9231921044605693</v>
      </c>
      <c r="V9" s="2">
        <v>-4.255799</v>
      </c>
      <c r="W9" s="2">
        <v>-7.719771035344991</v>
      </c>
      <c r="X9" s="2">
        <v>-9.716</v>
      </c>
      <c r="Y9" s="2">
        <v>-11.776388013011251</v>
      </c>
      <c r="Z9" s="2">
        <v>-4.93</v>
      </c>
      <c r="AA9" s="2">
        <v>-10.886451367048045</v>
      </c>
      <c r="AB9" s="2">
        <v>-11.46</v>
      </c>
      <c r="AC9" s="2">
        <v>-4.249</v>
      </c>
    </row>
    <row r="10" spans="1:29" ht="12.75">
      <c r="A10" s="66" t="s">
        <v>8</v>
      </c>
      <c r="B10" s="85" t="s">
        <v>11</v>
      </c>
      <c r="C10" s="66" t="s">
        <v>168</v>
      </c>
      <c r="D10" s="18" t="s">
        <v>559</v>
      </c>
      <c r="E10" s="18" t="s">
        <v>559</v>
      </c>
      <c r="F10" s="2">
        <v>1.1</v>
      </c>
      <c r="G10" s="2">
        <v>1</v>
      </c>
      <c r="H10" s="2">
        <v>0.4</v>
      </c>
      <c r="I10" s="2">
        <v>0.3</v>
      </c>
      <c r="J10" s="2">
        <v>0.3</v>
      </c>
      <c r="K10" s="2">
        <v>0.2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0.2273274</v>
      </c>
      <c r="U10" s="2">
        <v>0.17787910948092184</v>
      </c>
      <c r="V10" s="2">
        <v>0.2571362</v>
      </c>
      <c r="W10" s="2">
        <v>0.2723745046027054</v>
      </c>
      <c r="X10" s="2">
        <v>-2.102</v>
      </c>
      <c r="Y10" s="2">
        <v>-5.867709900527142</v>
      </c>
      <c r="Z10" s="2">
        <v>-3.01</v>
      </c>
      <c r="AA10" s="2">
        <v>-1.3859369597305273</v>
      </c>
      <c r="AB10" s="2">
        <v>-0.01</v>
      </c>
      <c r="AC10" s="2">
        <v>0</v>
      </c>
    </row>
    <row r="11" spans="1:29" ht="12.75">
      <c r="A11" s="66" t="s">
        <v>8</v>
      </c>
      <c r="B11" s="85" t="s">
        <v>11</v>
      </c>
      <c r="C11" s="66"/>
      <c r="D11" s="18" t="s">
        <v>118</v>
      </c>
      <c r="E11" s="18" t="s">
        <v>118</v>
      </c>
      <c r="F11" s="1">
        <v>610</v>
      </c>
      <c r="G11" s="1">
        <v>-286</v>
      </c>
      <c r="H11" s="1">
        <v>749</v>
      </c>
      <c r="I11" s="1">
        <v>1055</v>
      </c>
      <c r="J11" s="1">
        <v>686</v>
      </c>
      <c r="K11" s="1">
        <v>576</v>
      </c>
      <c r="L11" s="1">
        <v>93</v>
      </c>
      <c r="M11" s="1">
        <v>1138</v>
      </c>
      <c r="N11" s="1">
        <v>558</v>
      </c>
      <c r="O11" s="1">
        <v>244</v>
      </c>
      <c r="P11" s="1">
        <v>1522</v>
      </c>
      <c r="Q11" s="1">
        <v>1319</v>
      </c>
      <c r="R11" s="1">
        <v>1122.3082454999983</v>
      </c>
      <c r="S11" s="1">
        <v>1012.9294814000009</v>
      </c>
      <c r="T11" s="1">
        <v>833.114334299986</v>
      </c>
      <c r="U11" s="1">
        <v>1033.7211265000215</v>
      </c>
      <c r="V11" s="1">
        <v>601.5276957000007</v>
      </c>
      <c r="W11" s="1">
        <v>141.73412799999807</v>
      </c>
      <c r="X11" s="1">
        <v>74.8041830000002</v>
      </c>
      <c r="Y11" s="1">
        <v>-134.9033384999911</v>
      </c>
      <c r="Z11" s="1">
        <v>-41.178124100003174</v>
      </c>
      <c r="AA11" s="1">
        <v>-346.10078789999125</v>
      </c>
      <c r="AB11" s="1">
        <v>482.7270924999864</v>
      </c>
      <c r="AC11" s="1">
        <v>-1696.96129989999</v>
      </c>
    </row>
    <row r="12" spans="1:29" ht="12.75">
      <c r="A12" s="66" t="s">
        <v>8</v>
      </c>
      <c r="B12" s="85" t="s">
        <v>11</v>
      </c>
      <c r="C12" s="66" t="s">
        <v>168</v>
      </c>
      <c r="D12" s="18" t="s">
        <v>169</v>
      </c>
      <c r="E12" s="18" t="s">
        <v>169</v>
      </c>
      <c r="F12" s="2">
        <v>6.2</v>
      </c>
      <c r="G12" s="2">
        <v>-2.8</v>
      </c>
      <c r="H12" s="2">
        <v>6.9</v>
      </c>
      <c r="I12" s="2">
        <v>8.4</v>
      </c>
      <c r="J12" s="2">
        <v>6.5</v>
      </c>
      <c r="K12" s="2">
        <v>5.5</v>
      </c>
      <c r="L12" s="2">
        <v>0.8426966292134831</v>
      </c>
      <c r="M12" s="2">
        <v>8.523067705212702</v>
      </c>
      <c r="N12" s="2">
        <v>5.1</v>
      </c>
      <c r="O12" s="2">
        <v>2.8</v>
      </c>
      <c r="P12" s="2">
        <v>12.4</v>
      </c>
      <c r="Q12" s="2">
        <v>9.472172351885098</v>
      </c>
      <c r="R12" s="2">
        <v>9.64469951986028</v>
      </c>
      <c r="S12" s="2">
        <v>8.642060692000905</v>
      </c>
      <c r="T12" s="2">
        <v>6.998045185345145</v>
      </c>
      <c r="U12" s="2">
        <v>7.319931316866306</v>
      </c>
      <c r="V12" s="2">
        <v>5.2147698488737335</v>
      </c>
      <c r="W12" s="2">
        <v>1.2493630347029292</v>
      </c>
      <c r="X12" s="2">
        <v>0.6734863650950493</v>
      </c>
      <c r="Y12" s="2">
        <v>-1.0718149296088844</v>
      </c>
      <c r="Z12" s="2">
        <v>-0.3631407868201557</v>
      </c>
      <c r="AA12" s="2">
        <v>-3.2072932026467003</v>
      </c>
      <c r="AB12" s="2">
        <v>4.546295865173203</v>
      </c>
      <c r="AC12" s="2">
        <v>-13.467288918146625</v>
      </c>
    </row>
    <row r="13" spans="1:29" ht="15">
      <c r="A13" s="66" t="s">
        <v>8</v>
      </c>
      <c r="B13" s="85" t="s">
        <v>11</v>
      </c>
      <c r="C13" s="66"/>
      <c r="D13" s="18" t="s">
        <v>222</v>
      </c>
      <c r="E13" s="18" t="s">
        <v>222</v>
      </c>
      <c r="F13" s="1">
        <v>610</v>
      </c>
      <c r="G13" s="1">
        <v>532</v>
      </c>
      <c r="H13" s="1">
        <v>749</v>
      </c>
      <c r="I13" s="1">
        <v>984</v>
      </c>
      <c r="J13" s="1">
        <v>686</v>
      </c>
      <c r="K13" s="1">
        <v>576</v>
      </c>
      <c r="L13" s="1">
        <v>845</v>
      </c>
      <c r="M13" s="1">
        <v>1138</v>
      </c>
      <c r="N13" s="1">
        <v>558</v>
      </c>
      <c r="O13" s="1">
        <v>244</v>
      </c>
      <c r="P13" s="1">
        <v>1522</v>
      </c>
      <c r="Q13" s="1">
        <v>1319</v>
      </c>
      <c r="R13" s="1">
        <v>1122.3082454999983</v>
      </c>
      <c r="S13" s="1">
        <v>1012.9294814000009</v>
      </c>
      <c r="T13" s="1">
        <v>833.114334299986</v>
      </c>
      <c r="U13" s="1">
        <v>1033.7211265000215</v>
      </c>
      <c r="V13" s="1">
        <v>601.5276957000007</v>
      </c>
      <c r="W13" s="1">
        <v>141.73412799999807</v>
      </c>
      <c r="X13" s="1">
        <v>424.8041830000002</v>
      </c>
      <c r="Y13" s="1">
        <v>289.0966615000089</v>
      </c>
      <c r="Z13" s="1">
        <v>519.8218758999968</v>
      </c>
      <c r="AA13" s="1">
        <v>296.89921210000875</v>
      </c>
      <c r="AB13" s="1">
        <v>188.72709249998638</v>
      </c>
      <c r="AC13" s="1">
        <v>97.80570010001043</v>
      </c>
    </row>
    <row r="14" spans="1:29" ht="15">
      <c r="A14" s="66" t="s">
        <v>8</v>
      </c>
      <c r="B14" s="214" t="s">
        <v>237</v>
      </c>
      <c r="C14" s="66" t="s">
        <v>168</v>
      </c>
      <c r="D14" s="86" t="s">
        <v>223</v>
      </c>
      <c r="E14" s="86" t="s">
        <v>223</v>
      </c>
      <c r="F14" s="2">
        <v>6.2</v>
      </c>
      <c r="G14" s="2">
        <v>5.3</v>
      </c>
      <c r="H14" s="2">
        <v>6.9</v>
      </c>
      <c r="I14" s="2">
        <v>7.9</v>
      </c>
      <c r="J14" s="2">
        <v>6.5</v>
      </c>
      <c r="K14" s="2">
        <v>5.5</v>
      </c>
      <c r="L14" s="2">
        <v>7.656759695541863</v>
      </c>
      <c r="M14" s="2">
        <v>8.523067705212702</v>
      </c>
      <c r="N14" s="2">
        <v>5.1</v>
      </c>
      <c r="O14" s="2">
        <v>2.8</v>
      </c>
      <c r="P14" s="2">
        <v>12.4</v>
      </c>
      <c r="Q14" s="2">
        <v>9.472172351885098</v>
      </c>
      <c r="R14" s="2">
        <v>9.644699519860286</v>
      </c>
      <c r="S14" s="2">
        <v>8.642060692000927</v>
      </c>
      <c r="T14" s="2">
        <v>6.998045185345099</v>
      </c>
      <c r="U14" s="2">
        <v>7.319931316866284</v>
      </c>
      <c r="V14" s="2">
        <v>5.214769848873798</v>
      </c>
      <c r="W14" s="2">
        <v>1.2493630347029319</v>
      </c>
      <c r="X14" s="2">
        <v>3.824650087894704</v>
      </c>
      <c r="Y14" s="2">
        <v>2.2968899164479772</v>
      </c>
      <c r="Z14" s="2">
        <v>4.5841943786020405</v>
      </c>
      <c r="AA14" s="2">
        <v>2.7513454407814772</v>
      </c>
      <c r="AB14" s="2">
        <v>1.7774208525055477</v>
      </c>
      <c r="AC14" s="2">
        <v>0.7761977961230246</v>
      </c>
    </row>
    <row r="15" spans="1:21" ht="12.75">
      <c r="A15" s="66" t="s">
        <v>10</v>
      </c>
      <c r="B15" s="66"/>
      <c r="C15" s="66"/>
      <c r="R15" s="10"/>
      <c r="S15" s="16"/>
      <c r="T15" s="20"/>
      <c r="U15" s="20"/>
    </row>
    <row r="16" spans="1:21" ht="12.75">
      <c r="A16" s="66" t="s">
        <v>16</v>
      </c>
      <c r="D16" s="18" t="s">
        <v>209</v>
      </c>
      <c r="E16" s="18" t="s">
        <v>209</v>
      </c>
      <c r="R16" s="21"/>
      <c r="S16" s="16"/>
      <c r="T16" s="21"/>
      <c r="U16" s="20"/>
    </row>
    <row r="17" spans="1:5" ht="12.75">
      <c r="A17" s="66" t="s">
        <v>16</v>
      </c>
      <c r="D17" s="16" t="s">
        <v>553</v>
      </c>
      <c r="E17" s="16" t="s">
        <v>553</v>
      </c>
    </row>
    <row r="18" spans="1:5" ht="12.75">
      <c r="A18" s="66" t="s">
        <v>10</v>
      </c>
      <c r="B18" s="16"/>
      <c r="C18" s="16"/>
      <c r="D18" s="16"/>
      <c r="E18" s="16"/>
    </row>
    <row r="19" spans="1:17" s="16" customFormat="1" ht="144.75">
      <c r="A19" s="66" t="s">
        <v>615</v>
      </c>
      <c r="E19" s="61" t="s">
        <v>616</v>
      </c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</row>
    <row r="20" ht="12.75">
      <c r="E20" s="18"/>
    </row>
    <row r="21" ht="12.75">
      <c r="E21" s="18"/>
    </row>
    <row r="22" ht="12.75">
      <c r="E22" s="18"/>
    </row>
    <row r="23" ht="12.75">
      <c r="E23" s="18"/>
    </row>
    <row r="24" ht="12.75">
      <c r="E24" s="18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10" r:id="rId1"/>
  <headerFooter alignWithMargins="0">
    <oddHeader>&amp;L&amp;D/&amp;F</oddHeader>
    <oddFooter>&amp;L&amp;"Calibri"&amp;11&amp;K000000&amp;"Calibri"&amp;11&amp;K000000
&amp;1#&amp;"Calibri"&amp;8&amp;K000000 Classified as Internal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C19"/>
  <sheetViews>
    <sheetView zoomScaleSheetLayoutView="100" zoomScalePageLayoutView="0" workbookViewId="0" topLeftCell="L1">
      <selection activeCell="AB6" sqref="AB6:AC14"/>
    </sheetView>
  </sheetViews>
  <sheetFormatPr defaultColWidth="9.140625" defaultRowHeight="12.75"/>
  <cols>
    <col min="1" max="1" width="11.28125" style="66" bestFit="1" customWidth="1"/>
    <col min="2" max="2" width="12.28125" style="0" customWidth="1"/>
    <col min="3" max="3" width="11.28125" style="0" customWidth="1"/>
    <col min="4" max="4" width="31.00390625" style="0" hidden="1" customWidth="1"/>
    <col min="5" max="5" width="39.00390625" style="0" customWidth="1"/>
    <col min="6" max="10" width="0" style="0" hidden="1" customWidth="1"/>
  </cols>
  <sheetData>
    <row r="1" spans="1:5" ht="17.25">
      <c r="A1" s="68">
        <v>44377</v>
      </c>
      <c r="B1" s="32" t="s">
        <v>26</v>
      </c>
      <c r="C1" s="33"/>
      <c r="D1" s="34" t="str">
        <f>Company</f>
        <v>AB Electrolux</v>
      </c>
      <c r="E1" s="34" t="str">
        <f>Company</f>
        <v>AB Electrolux</v>
      </c>
    </row>
    <row r="2" spans="1:5" ht="12.75">
      <c r="A2" s="69"/>
      <c r="B2" s="32" t="s">
        <v>28</v>
      </c>
      <c r="C2" s="33"/>
      <c r="D2" s="35">
        <f>A1</f>
        <v>44377</v>
      </c>
      <c r="E2" s="36">
        <f>+A1</f>
        <v>44377</v>
      </c>
    </row>
    <row r="3" spans="1:5" ht="12.75">
      <c r="A3" s="69"/>
      <c r="B3" s="32" t="s">
        <v>29</v>
      </c>
      <c r="C3" s="33" t="s">
        <v>30</v>
      </c>
      <c r="D3" s="37" t="s">
        <v>31</v>
      </c>
      <c r="E3" s="37" t="s">
        <v>32</v>
      </c>
    </row>
    <row r="4" spans="1:5" ht="12.75">
      <c r="A4" s="66" t="s">
        <v>6</v>
      </c>
      <c r="B4" s="32" t="s">
        <v>33</v>
      </c>
      <c r="C4" s="16"/>
      <c r="D4" s="52" t="s">
        <v>200</v>
      </c>
      <c r="E4" s="52" t="s">
        <v>200</v>
      </c>
    </row>
    <row r="5" spans="2:17" ht="12.75">
      <c r="B5" s="32" t="s">
        <v>35</v>
      </c>
      <c r="C5" s="38" t="s">
        <v>139</v>
      </c>
      <c r="D5" s="43"/>
      <c r="E5" s="43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</row>
    <row r="6" spans="1:29" ht="15">
      <c r="A6" s="67" t="s">
        <v>7</v>
      </c>
      <c r="B6" s="41" t="s">
        <v>34</v>
      </c>
      <c r="C6" s="38" t="s">
        <v>139</v>
      </c>
      <c r="D6" s="50" t="s">
        <v>138</v>
      </c>
      <c r="E6" s="50" t="s">
        <v>138</v>
      </c>
      <c r="F6" s="30" t="s">
        <v>554</v>
      </c>
      <c r="G6" s="30" t="s">
        <v>555</v>
      </c>
      <c r="H6" s="30" t="s">
        <v>556</v>
      </c>
      <c r="I6" s="30" t="s">
        <v>557</v>
      </c>
      <c r="J6" s="30" t="s">
        <v>230</v>
      </c>
      <c r="K6" s="30" t="s">
        <v>574</v>
      </c>
      <c r="L6" s="30" t="s">
        <v>575</v>
      </c>
      <c r="M6" s="30" t="s">
        <v>601</v>
      </c>
      <c r="N6" s="30" t="s">
        <v>617</v>
      </c>
      <c r="O6" s="30" t="s">
        <v>618</v>
      </c>
      <c r="P6" s="30" t="s">
        <v>620</v>
      </c>
      <c r="Q6" s="30" t="s">
        <v>621</v>
      </c>
      <c r="R6" s="30" t="s">
        <v>625</v>
      </c>
      <c r="S6" s="30" t="s">
        <v>634</v>
      </c>
      <c r="T6" s="30" t="s">
        <v>635</v>
      </c>
      <c r="U6" s="44" t="s">
        <v>636</v>
      </c>
      <c r="V6" s="44" t="s">
        <v>638</v>
      </c>
      <c r="W6" s="44" t="s">
        <v>639</v>
      </c>
      <c r="X6" s="44" t="s">
        <v>644</v>
      </c>
      <c r="Y6" s="44" t="s">
        <v>645</v>
      </c>
      <c r="Z6" s="44" t="s">
        <v>653</v>
      </c>
      <c r="AA6" s="44" t="s">
        <v>654</v>
      </c>
      <c r="AB6" s="44" t="s">
        <v>655</v>
      </c>
      <c r="AC6" s="44" t="s">
        <v>656</v>
      </c>
    </row>
    <row r="7" spans="1:5" s="13" customFormat="1" ht="12.75">
      <c r="A7" s="65" t="s">
        <v>177</v>
      </c>
      <c r="B7" s="65"/>
      <c r="C7" s="65"/>
      <c r="D7" s="13" t="s">
        <v>3</v>
      </c>
      <c r="E7" s="13" t="s">
        <v>3</v>
      </c>
    </row>
    <row r="8" spans="1:29" ht="12.75">
      <c r="A8" s="66" t="s">
        <v>8</v>
      </c>
      <c r="B8" s="85" t="s">
        <v>11</v>
      </c>
      <c r="C8" s="66"/>
      <c r="D8" s="18" t="s">
        <v>116</v>
      </c>
      <c r="E8" s="18" t="s">
        <v>116</v>
      </c>
      <c r="F8" s="1">
        <v>8785</v>
      </c>
      <c r="G8" s="1">
        <v>10804</v>
      </c>
      <c r="H8" s="1">
        <v>10072</v>
      </c>
      <c r="I8" s="1">
        <v>10143</v>
      </c>
      <c r="J8" s="1">
        <v>9099</v>
      </c>
      <c r="K8" s="1">
        <v>10255</v>
      </c>
      <c r="L8" s="1">
        <v>10880</v>
      </c>
      <c r="M8" s="1">
        <v>8719</v>
      </c>
      <c r="N8" s="1">
        <v>8409</v>
      </c>
      <c r="O8" s="1">
        <v>8537</v>
      </c>
      <c r="P8" s="1">
        <v>10993</v>
      </c>
      <c r="Q8" s="1">
        <v>10281</v>
      </c>
      <c r="R8" s="1">
        <v>9002.042970499999</v>
      </c>
      <c r="S8" s="1">
        <v>10132.193065700005</v>
      </c>
      <c r="T8" s="1">
        <v>10378.176044299995</v>
      </c>
      <c r="U8" s="1">
        <v>10955.357092200004</v>
      </c>
      <c r="V8" s="1">
        <v>9940.211943900002</v>
      </c>
      <c r="W8" s="1">
        <v>11905.170822700002</v>
      </c>
      <c r="X8" s="1">
        <v>12909.076074299996</v>
      </c>
      <c r="Y8" s="1">
        <v>12266.200640300009</v>
      </c>
      <c r="Z8" s="1">
        <v>11503.738824900001</v>
      </c>
      <c r="AA8" s="1">
        <v>11238.355674699995</v>
      </c>
      <c r="AB8" s="1">
        <v>11896.160979799999</v>
      </c>
      <c r="AC8" s="1">
        <v>10434.101503800004</v>
      </c>
    </row>
    <row r="9" spans="1:29" ht="12.75">
      <c r="A9" s="66" t="s">
        <v>8</v>
      </c>
      <c r="B9" s="85" t="s">
        <v>11</v>
      </c>
      <c r="C9" s="66" t="s">
        <v>168</v>
      </c>
      <c r="D9" s="18" t="s">
        <v>172</v>
      </c>
      <c r="E9" s="18" t="s">
        <v>172</v>
      </c>
      <c r="F9" s="2">
        <v>-5.9</v>
      </c>
      <c r="G9" s="2">
        <v>-10.2</v>
      </c>
      <c r="H9" s="2">
        <v>-4.6</v>
      </c>
      <c r="I9" s="2">
        <v>-4</v>
      </c>
      <c r="J9" s="2">
        <v>-5</v>
      </c>
      <c r="K9" s="2">
        <v>-10.8</v>
      </c>
      <c r="L9" s="2">
        <v>-0.2</v>
      </c>
      <c r="M9" s="2">
        <v>-18.3</v>
      </c>
      <c r="N9" s="2">
        <v>-13.1</v>
      </c>
      <c r="O9" s="2">
        <v>-17.9</v>
      </c>
      <c r="P9" s="2">
        <v>8.6</v>
      </c>
      <c r="Q9" s="2">
        <v>29.2451446</v>
      </c>
      <c r="R9" s="2">
        <v>22.93663</v>
      </c>
      <c r="S9" s="2">
        <v>33.7008</v>
      </c>
      <c r="T9" s="2">
        <v>-1.8584799</v>
      </c>
      <c r="U9" s="2">
        <v>4.374875859728955</v>
      </c>
      <c r="V9" s="2">
        <v>-0.2770874</v>
      </c>
      <c r="W9" s="2">
        <v>0.7160043186741571</v>
      </c>
      <c r="X9" s="2">
        <v>2.317</v>
      </c>
      <c r="Y9" s="2">
        <v>-6.060622586516839</v>
      </c>
      <c r="Z9" s="2">
        <v>4</v>
      </c>
      <c r="AA9" s="2">
        <v>-12.301447799046327</v>
      </c>
      <c r="AB9" s="2">
        <v>-9.56</v>
      </c>
      <c r="AC9" s="2">
        <v>-14.48</v>
      </c>
    </row>
    <row r="10" spans="1:29" ht="12.75">
      <c r="A10" s="66" t="s">
        <v>8</v>
      </c>
      <c r="B10" s="85" t="s">
        <v>11</v>
      </c>
      <c r="C10" s="66" t="s">
        <v>168</v>
      </c>
      <c r="D10" s="18" t="s">
        <v>559</v>
      </c>
      <c r="E10" s="18" t="s">
        <v>559</v>
      </c>
      <c r="F10" s="2">
        <v>0.5</v>
      </c>
      <c r="G10" s="2">
        <v>0</v>
      </c>
      <c r="H10" s="2">
        <v>-1.7</v>
      </c>
      <c r="I10" s="2">
        <v>-2.4</v>
      </c>
      <c r="J10" s="2">
        <v>-2</v>
      </c>
      <c r="K10" s="2">
        <v>-1.5</v>
      </c>
      <c r="L10" s="2">
        <v>-0.4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</row>
    <row r="11" spans="1:29" ht="12.75">
      <c r="A11" s="66" t="s">
        <v>8</v>
      </c>
      <c r="B11" s="85" t="s">
        <v>11</v>
      </c>
      <c r="C11" s="66"/>
      <c r="D11" s="18" t="s">
        <v>118</v>
      </c>
      <c r="E11" s="18" t="s">
        <v>118</v>
      </c>
      <c r="F11" s="1">
        <v>-148</v>
      </c>
      <c r="G11" s="1">
        <v>670</v>
      </c>
      <c r="H11" s="1">
        <v>358</v>
      </c>
      <c r="I11" s="1">
        <v>223</v>
      </c>
      <c r="J11" s="1">
        <v>-482</v>
      </c>
      <c r="K11" s="1">
        <v>504</v>
      </c>
      <c r="L11" s="1">
        <v>-20</v>
      </c>
      <c r="M11" s="1">
        <v>-519</v>
      </c>
      <c r="N11" s="1">
        <v>-299</v>
      </c>
      <c r="O11" s="1">
        <v>-173</v>
      </c>
      <c r="P11" s="1">
        <v>990</v>
      </c>
      <c r="Q11" s="1">
        <v>697</v>
      </c>
      <c r="R11" s="1">
        <v>493.27191059999853</v>
      </c>
      <c r="S11" s="1">
        <v>558.2851023000055</v>
      </c>
      <c r="T11" s="1">
        <v>195.98081769999547</v>
      </c>
      <c r="U11" s="1">
        <v>-559.2037799999971</v>
      </c>
      <c r="V11" s="1">
        <v>752.3919274000011</v>
      </c>
      <c r="W11" s="1">
        <v>-269.74918879999376</v>
      </c>
      <c r="X11" s="1">
        <v>-1227.325253100014</v>
      </c>
      <c r="Y11" s="1">
        <v>-1649.3235378999966</v>
      </c>
      <c r="Z11" s="1">
        <v>-438.7561306999989</v>
      </c>
      <c r="AA11" s="1">
        <v>-160.35750950000693</v>
      </c>
      <c r="AB11" s="1">
        <v>-439.678838399997</v>
      </c>
      <c r="AC11" s="1">
        <v>-1301.9694733999986</v>
      </c>
    </row>
    <row r="12" spans="1:29" ht="12.75">
      <c r="A12" s="66" t="s">
        <v>8</v>
      </c>
      <c r="B12" s="85" t="s">
        <v>11</v>
      </c>
      <c r="C12" s="66" t="s">
        <v>168</v>
      </c>
      <c r="D12" s="18" t="s">
        <v>169</v>
      </c>
      <c r="E12" s="18" t="s">
        <v>169</v>
      </c>
      <c r="F12" s="2">
        <v>-1.7</v>
      </c>
      <c r="G12" s="2">
        <v>6.2</v>
      </c>
      <c r="H12" s="2">
        <v>3.6</v>
      </c>
      <c r="I12" s="2">
        <v>2.2</v>
      </c>
      <c r="J12" s="2">
        <v>-5.3</v>
      </c>
      <c r="K12" s="2">
        <v>4.9</v>
      </c>
      <c r="L12" s="2">
        <v>-0.1838235294117647</v>
      </c>
      <c r="M12" s="2">
        <v>-5.852517490537906</v>
      </c>
      <c r="N12" s="2">
        <v>-3.6</v>
      </c>
      <c r="O12" s="2">
        <v>-2</v>
      </c>
      <c r="P12" s="2">
        <v>9</v>
      </c>
      <c r="Q12" s="2">
        <v>6.779496157961288</v>
      </c>
      <c r="R12" s="2">
        <v>5.479555165604822</v>
      </c>
      <c r="S12" s="2">
        <v>5.51001247883774</v>
      </c>
      <c r="T12" s="2">
        <v>1.888393652829137</v>
      </c>
      <c r="U12" s="2">
        <v>-5.104386605509561</v>
      </c>
      <c r="V12" s="2">
        <v>7.569173893336565</v>
      </c>
      <c r="W12" s="2">
        <v>-2.26581535718628</v>
      </c>
      <c r="X12" s="2">
        <v>-9.50746006945783</v>
      </c>
      <c r="Y12" s="2">
        <v>-13.44608315374546</v>
      </c>
      <c r="Z12" s="2">
        <v>-3.8140307023513804</v>
      </c>
      <c r="AA12" s="2">
        <v>-1.4268769750810022</v>
      </c>
      <c r="AB12" s="2">
        <v>-3.695972500259427</v>
      </c>
      <c r="AC12" s="2">
        <v>-12.478021925757886</v>
      </c>
    </row>
    <row r="13" spans="1:29" ht="15">
      <c r="A13" s="66" t="s">
        <v>8</v>
      </c>
      <c r="B13" s="85" t="s">
        <v>11</v>
      </c>
      <c r="C13" s="66"/>
      <c r="D13" s="18" t="s">
        <v>222</v>
      </c>
      <c r="E13" s="18" t="s">
        <v>222</v>
      </c>
      <c r="F13" s="1">
        <v>448</v>
      </c>
      <c r="G13" s="1">
        <v>670</v>
      </c>
      <c r="H13" s="1">
        <v>358</v>
      </c>
      <c r="I13" s="1">
        <v>223</v>
      </c>
      <c r="J13" s="1">
        <v>347</v>
      </c>
      <c r="K13" s="1">
        <v>504</v>
      </c>
      <c r="L13" s="1">
        <v>222</v>
      </c>
      <c r="M13" s="1">
        <v>-519</v>
      </c>
      <c r="N13" s="1">
        <v>-299</v>
      </c>
      <c r="O13" s="1">
        <v>-173</v>
      </c>
      <c r="P13" s="1">
        <v>990</v>
      </c>
      <c r="Q13" s="1">
        <v>697</v>
      </c>
      <c r="R13" s="1">
        <v>493.27191059999853</v>
      </c>
      <c r="S13" s="1">
        <v>558.2851023000055</v>
      </c>
      <c r="T13" s="1">
        <v>195.98081769999547</v>
      </c>
      <c r="U13" s="1">
        <v>167.7962200000029</v>
      </c>
      <c r="V13" s="1">
        <v>96.35336670000106</v>
      </c>
      <c r="W13" s="1">
        <v>-269.74918879999376</v>
      </c>
      <c r="X13" s="1">
        <v>-1227.325253100014</v>
      </c>
      <c r="Y13" s="1">
        <v>-1234.3235378999966</v>
      </c>
      <c r="Z13" s="1">
        <v>-438.7561306999989</v>
      </c>
      <c r="AA13" s="1">
        <v>-160.35750950000693</v>
      </c>
      <c r="AB13" s="1">
        <v>-439.678838399997</v>
      </c>
      <c r="AC13" s="1">
        <v>-1450.1174733999947</v>
      </c>
    </row>
    <row r="14" spans="1:29" ht="15">
      <c r="A14" s="66" t="s">
        <v>8</v>
      </c>
      <c r="B14" s="214" t="s">
        <v>237</v>
      </c>
      <c r="C14" s="66" t="s">
        <v>168</v>
      </c>
      <c r="D14" s="86" t="s">
        <v>223</v>
      </c>
      <c r="E14" s="86" t="s">
        <v>223</v>
      </c>
      <c r="F14" s="2">
        <v>5.1</v>
      </c>
      <c r="G14" s="2">
        <v>6.2</v>
      </c>
      <c r="H14" s="2">
        <v>3.6</v>
      </c>
      <c r="I14" s="2">
        <v>2.2</v>
      </c>
      <c r="J14" s="2">
        <v>3.8</v>
      </c>
      <c r="K14" s="2">
        <v>4.9</v>
      </c>
      <c r="L14" s="2">
        <v>2.0404411764705883</v>
      </c>
      <c r="M14" s="2">
        <v>-5.852517490537906</v>
      </c>
      <c r="N14" s="2">
        <v>-3.6</v>
      </c>
      <c r="O14" s="2">
        <v>-2</v>
      </c>
      <c r="P14" s="2">
        <v>9</v>
      </c>
      <c r="Q14" s="2">
        <v>6.779496157961288</v>
      </c>
      <c r="R14" s="2">
        <v>5.479555165604823</v>
      </c>
      <c r="S14" s="2">
        <v>5.51001247883777</v>
      </c>
      <c r="T14" s="2">
        <v>1.8883936528291405</v>
      </c>
      <c r="U14" s="2">
        <v>1.531636245061062</v>
      </c>
      <c r="V14" s="2">
        <v>0.9693290972445524</v>
      </c>
      <c r="W14" s="2">
        <v>-2.265815357186254</v>
      </c>
      <c r="X14" s="2">
        <v>-9.507460069457888</v>
      </c>
      <c r="Y14" s="2">
        <v>-10.062802444668044</v>
      </c>
      <c r="Z14" s="2">
        <v>-3.8140307023513538</v>
      </c>
      <c r="AA14" s="2">
        <v>-1.4268769750810333</v>
      </c>
      <c r="AB14" s="2">
        <v>-3.6959725002593986</v>
      </c>
      <c r="AC14" s="2">
        <v>-13.897866269288977</v>
      </c>
    </row>
    <row r="15" spans="1:3" ht="12.75">
      <c r="A15" s="66" t="s">
        <v>10</v>
      </c>
      <c r="B15" s="66"/>
      <c r="C15" s="66"/>
    </row>
    <row r="16" spans="1:5" ht="12.75">
      <c r="A16" s="66" t="s">
        <v>16</v>
      </c>
      <c r="D16" s="18" t="s">
        <v>209</v>
      </c>
      <c r="E16" s="18" t="s">
        <v>209</v>
      </c>
    </row>
    <row r="17" spans="1:5" ht="12.75">
      <c r="A17" s="66" t="s">
        <v>16</v>
      </c>
      <c r="D17" s="16" t="s">
        <v>553</v>
      </c>
      <c r="E17" s="16" t="s">
        <v>553</v>
      </c>
    </row>
    <row r="18" spans="1:5" ht="12.75">
      <c r="A18" s="66" t="s">
        <v>10</v>
      </c>
      <c r="B18" s="16"/>
      <c r="C18" s="16"/>
      <c r="D18" s="16"/>
      <c r="E18" s="16"/>
    </row>
    <row r="19" spans="1:17" s="16" customFormat="1" ht="144.75">
      <c r="A19" s="66" t="s">
        <v>615</v>
      </c>
      <c r="E19" s="61" t="s">
        <v>616</v>
      </c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7" r:id="rId1"/>
  <headerFooter alignWithMargins="0">
    <oddHeader>&amp;L&amp;D/&amp;F</oddHeader>
    <oddFooter>&amp;L&amp;"Calibri"&amp;11&amp;K000000&amp;"Calibri"&amp;11&amp;K000000
&amp;1#&amp;"Calibri"&amp;8&amp;K000000 Classified as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Björn Andersson</dc:creator>
  <cp:keywords/>
  <dc:description/>
  <cp:lastModifiedBy>Timo Sikka | Eklips Digital</cp:lastModifiedBy>
  <cp:lastPrinted>2023-01-26T19:35:14Z</cp:lastPrinted>
  <dcterms:created xsi:type="dcterms:W3CDTF">2009-08-26T11:31:12Z</dcterms:created>
  <dcterms:modified xsi:type="dcterms:W3CDTF">2024-02-02T09:21:38Z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PII Data</vt:lpwstr>
  </property>
</Properties>
</file>